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theme/themeOverride1.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brodland\Desktop\2018 Website Changes\00 Final Changes\"/>
    </mc:Choice>
  </mc:AlternateContent>
  <bookViews>
    <workbookView xWindow="-90" yWindow="-45" windowWidth="20580" windowHeight="7905" tabRatio="688" activeTab="8"/>
  </bookViews>
  <sheets>
    <sheet name="Main" sheetId="1" r:id="rId1"/>
    <sheet name="Properties" sheetId="2" r:id="rId2"/>
    <sheet name="Solver" sheetId="3" r:id="rId3"/>
    <sheet name="Plotting Data" sheetId="4" r:id="rId4"/>
    <sheet name="calculation" sheetId="8" state="hidden" r:id="rId5"/>
    <sheet name="Language" sheetId="5" r:id="rId6"/>
    <sheet name="constants" sheetId="6" state="hidden" r:id="rId7"/>
    <sheet name="Data" sheetId="10" state="hidden" r:id="rId8"/>
    <sheet name="Instructions" sheetId="11" r:id="rId9"/>
  </sheets>
  <definedNames>
    <definedName name="getchart">IF(constants!$H$10=1,INDIRECT("'constants'!$A$14"),INDIRECT("'constants'!$A$15"))</definedName>
    <definedName name="left_b">Main!$B$5</definedName>
    <definedName name="mid1_b">Main!$D$5</definedName>
    <definedName name="mid2_b">Main!$F$5</definedName>
    <definedName name="PointA">IF(Main!$B$5=constants!$A$3,INDIRECT("'constants'!$C$16"),IF(Main!$B$5=constants!$A$7,INDIRECT("'constants'!$B$16"),INDIRECT("'constants'!$D$16")))</definedName>
    <definedName name="PointA_b">IF(Main!$B$5=constants!$A$4,INDIRECT("'constants'!$E$16"),IF(Main!$B$5=constants!$A$5,INDIRECT("'constants'!$G$16"),INDIRECT("'constants'!$D$16")))</definedName>
    <definedName name="PointB">IF(Main!$D$5=constants!$A$3,INDIRECT("'constants'!$C$16"),IF(Main!$D$5=constants!$A$2,INDIRECT("'constants'!$H$16"),INDIRECT("'constants'!$D$16")))</definedName>
    <definedName name="PointB_b">IF(Main!$D$5=constants!$A$4,INDIRECT("'constants'!$E$16"),IF(Main!$D$5=constants!$A$5,INDIRECT("'constants'!$G$16"),INDIRECT("'constants'!$D$16")))</definedName>
    <definedName name="PointC">IF(Main!$F$5=constants!$A$3,INDIRECT("'constants'!$C$16"),IF(Main!$F$5=constants!$A$2,INDIRECT("'constants'!$H$16"),INDIRECT("'constants'!$D$16")))</definedName>
    <definedName name="PointC_b">IF(Main!$F$5=constants!$A$4,INDIRECT("'constants'!$E$16"),IF(Main!$F$5=constants!$A$5,INDIRECT("'constants'!$G$16"),INDIRECT("'constants'!$D$16")))</definedName>
    <definedName name="PointD">IF(Main!$H$5=constants!$A$3,INDIRECT("'constants'!$C$16"),IF(Main!$H$5=constants!$A$7,INDIRECT("'constants'!$F$16"),INDIRECT("'constants'!$D$16")))</definedName>
    <definedName name="PointD_b">IF(Main!$H$5=constants!$A$4,INDIRECT("'constants'!$E$16"),IF(Main!$H$5=constants!$A$5,INDIRECT("'constants'!$G$16"),INDIRECT("'constants'!$D$16")))</definedName>
    <definedName name="right_b">Main!$H$5</definedName>
    <definedName name="Xaxis">OFFSET('Plotting Data'!$B$3,,,MATCH(Main!$I$6,'Plotting Data'!$B$3:$B$502,1),1)</definedName>
  </definedNames>
  <calcPr calcId="162913" concurrentCalc="0"/>
</workbook>
</file>

<file path=xl/calcChain.xml><?xml version="1.0" encoding="utf-8"?>
<calcChain xmlns="http://schemas.openxmlformats.org/spreadsheetml/2006/main">
  <c r="B10" i="6" l="1"/>
  <c r="A7" i="6"/>
  <c r="E2" i="6"/>
  <c r="A5" i="6"/>
  <c r="A4" i="6"/>
  <c r="E3" i="6"/>
  <c r="E6" i="6"/>
  <c r="E5" i="6"/>
  <c r="E4" i="6"/>
  <c r="E7" i="6"/>
  <c r="E11" i="2"/>
  <c r="F2" i="4"/>
  <c r="D18" i="2"/>
  <c r="D11" i="2"/>
  <c r="E2" i="4"/>
  <c r="B18" i="2"/>
  <c r="I9" i="1"/>
  <c r="A3" i="6"/>
  <c r="G4" i="2"/>
  <c r="H4" i="2"/>
  <c r="G3" i="2"/>
  <c r="H3" i="2"/>
  <c r="G5" i="2"/>
  <c r="H5" i="2"/>
  <c r="B12" i="6"/>
  <c r="N31" i="8"/>
  <c r="H16" i="8"/>
  <c r="J32" i="8"/>
  <c r="G9" i="1"/>
  <c r="E9" i="1"/>
  <c r="C9" i="1"/>
  <c r="N30" i="8"/>
  <c r="N27" i="8"/>
  <c r="N26" i="8"/>
  <c r="N23" i="8"/>
  <c r="N21" i="8"/>
  <c r="A6" i="6"/>
  <c r="D5" i="6"/>
  <c r="D7" i="6"/>
  <c r="B9" i="1"/>
  <c r="C5" i="6"/>
  <c r="C7" i="6"/>
  <c r="B8" i="1"/>
  <c r="D3" i="6"/>
  <c r="C3" i="6"/>
  <c r="C6" i="6"/>
  <c r="D6" i="6"/>
  <c r="C2" i="6"/>
  <c r="D2" i="6"/>
  <c r="H9" i="1"/>
  <c r="H8" i="1"/>
  <c r="A2" i="6"/>
  <c r="F9" i="1"/>
  <c r="F8" i="1"/>
  <c r="D9" i="1"/>
  <c r="D8" i="1"/>
  <c r="R4" i="3"/>
  <c r="P20" i="3"/>
  <c r="R9" i="3"/>
  <c r="P25" i="3"/>
  <c r="R14" i="3"/>
  <c r="P30" i="3"/>
  <c r="B2" i="3"/>
  <c r="A204" i="4"/>
  <c r="B10" i="2"/>
  <c r="A104" i="4"/>
  <c r="A3" i="4"/>
  <c r="R11" i="3"/>
  <c r="R12" i="3"/>
  <c r="R5" i="3"/>
  <c r="A103" i="10"/>
  <c r="A303" i="10"/>
  <c r="A203" i="10"/>
  <c r="B203" i="4"/>
  <c r="A3" i="10"/>
  <c r="A302" i="10"/>
  <c r="B302" i="4"/>
  <c r="A204" i="10"/>
  <c r="A206" i="10"/>
  <c r="A209" i="10"/>
  <c r="A211" i="10"/>
  <c r="A214" i="10"/>
  <c r="A216" i="10"/>
  <c r="A222" i="10"/>
  <c r="A220" i="10"/>
  <c r="A224" i="10"/>
  <c r="A226" i="10"/>
  <c r="A229" i="10"/>
  <c r="A231" i="10"/>
  <c r="A244" i="10"/>
  <c r="A246" i="10"/>
  <c r="A249" i="10"/>
  <c r="A251" i="10"/>
  <c r="A254" i="10"/>
  <c r="A256" i="10"/>
  <c r="A234" i="10"/>
  <c r="A236" i="10"/>
  <c r="A239" i="10"/>
  <c r="A241" i="10"/>
  <c r="A259" i="10"/>
  <c r="A261" i="10"/>
  <c r="A264" i="10"/>
  <c r="A266" i="10"/>
  <c r="A269" i="10"/>
  <c r="A271" i="10"/>
  <c r="A274" i="10"/>
  <c r="A276" i="10"/>
  <c r="A279" i="10"/>
  <c r="A281" i="10"/>
  <c r="A284" i="10"/>
  <c r="A286" i="10"/>
  <c r="A289" i="10"/>
  <c r="A291" i="10"/>
  <c r="A294" i="10"/>
  <c r="A296" i="10"/>
  <c r="A299" i="10"/>
  <c r="A301" i="10"/>
  <c r="B303" i="4"/>
  <c r="A205" i="10"/>
  <c r="A207" i="10"/>
  <c r="A210" i="10"/>
  <c r="A212" i="10"/>
  <c r="A215" i="10"/>
  <c r="A217" i="10"/>
  <c r="A219" i="10"/>
  <c r="A221" i="10"/>
  <c r="A225" i="10"/>
  <c r="A227" i="10"/>
  <c r="A230" i="10"/>
  <c r="A232" i="10"/>
  <c r="A245" i="10"/>
  <c r="A247" i="10"/>
  <c r="A250" i="10"/>
  <c r="A252" i="10"/>
  <c r="A255" i="10"/>
  <c r="A257" i="10"/>
  <c r="A235" i="10"/>
  <c r="A237" i="10"/>
  <c r="A240" i="10"/>
  <c r="A242" i="10"/>
  <c r="A260" i="10"/>
  <c r="A262" i="10"/>
  <c r="A265" i="10"/>
  <c r="A267" i="10"/>
  <c r="A270" i="10"/>
  <c r="A272" i="10"/>
  <c r="A275" i="10"/>
  <c r="A277" i="10"/>
  <c r="A280" i="10"/>
  <c r="A282" i="10"/>
  <c r="A285" i="10"/>
  <c r="A287" i="10"/>
  <c r="A290" i="10"/>
  <c r="A292" i="10"/>
  <c r="A295" i="10"/>
  <c r="A297" i="10"/>
  <c r="A300" i="10"/>
  <c r="A218" i="10"/>
  <c r="A233" i="10"/>
  <c r="A223" i="10"/>
  <c r="A228" i="10"/>
  <c r="A293" i="10"/>
  <c r="B3" i="4"/>
  <c r="A208" i="10"/>
  <c r="A238" i="10"/>
  <c r="A248" i="10"/>
  <c r="A258" i="10"/>
  <c r="A268" i="10"/>
  <c r="A278" i="10"/>
  <c r="A288" i="10"/>
  <c r="A298" i="10"/>
  <c r="A213" i="10"/>
  <c r="A243" i="10"/>
  <c r="A253" i="10"/>
  <c r="A263" i="10"/>
  <c r="A273" i="10"/>
  <c r="A283" i="10"/>
  <c r="B273" i="4"/>
  <c r="B213" i="4"/>
  <c r="B268" i="4"/>
  <c r="B248" i="4"/>
  <c r="B293" i="4"/>
  <c r="B218" i="4"/>
  <c r="B292" i="4"/>
  <c r="B282" i="4"/>
  <c r="B272" i="4"/>
  <c r="B262" i="4"/>
  <c r="B283" i="4"/>
  <c r="B263" i="4"/>
  <c r="B243" i="4"/>
  <c r="B298" i="4"/>
  <c r="B278" i="4"/>
  <c r="B258" i="4"/>
  <c r="B238" i="4"/>
  <c r="B228" i="4"/>
  <c r="B233" i="4"/>
  <c r="B300" i="4"/>
  <c r="B295" i="4"/>
  <c r="B290" i="4"/>
  <c r="B285" i="4"/>
  <c r="B280" i="4"/>
  <c r="B275" i="4"/>
  <c r="B270" i="4"/>
  <c r="B265" i="4"/>
  <c r="B260" i="4"/>
  <c r="B240" i="4"/>
  <c r="B235" i="4"/>
  <c r="B255" i="4"/>
  <c r="B250" i="4"/>
  <c r="B245" i="4"/>
  <c r="B230" i="4"/>
  <c r="B225" i="4"/>
  <c r="B219" i="4"/>
  <c r="B215" i="4"/>
  <c r="B210" i="4"/>
  <c r="B205" i="4"/>
  <c r="B301" i="4"/>
  <c r="B296" i="4"/>
  <c r="B291" i="4"/>
  <c r="B286" i="4"/>
  <c r="B281" i="4"/>
  <c r="B276" i="4"/>
  <c r="B271" i="4"/>
  <c r="B266" i="4"/>
  <c r="B261" i="4"/>
  <c r="B241" i="4"/>
  <c r="B236" i="4"/>
  <c r="B256" i="4"/>
  <c r="B251" i="4"/>
  <c r="B246" i="4"/>
  <c r="B231" i="4"/>
  <c r="B226" i="4"/>
  <c r="B220" i="4"/>
  <c r="B216" i="4"/>
  <c r="B211" i="4"/>
  <c r="B206" i="4"/>
  <c r="B253" i="4"/>
  <c r="B288" i="4"/>
  <c r="B208" i="4"/>
  <c r="B223" i="4"/>
  <c r="B297" i="4"/>
  <c r="B287" i="4"/>
  <c r="B277" i="4"/>
  <c r="B267" i="4"/>
  <c r="B242" i="4"/>
  <c r="B237" i="4"/>
  <c r="B257" i="4"/>
  <c r="B252" i="4"/>
  <c r="B247" i="4"/>
  <c r="B232" i="4"/>
  <c r="B227" i="4"/>
  <c r="B221" i="4"/>
  <c r="B217" i="4"/>
  <c r="B212" i="4"/>
  <c r="B207" i="4"/>
  <c r="B299" i="4"/>
  <c r="B294" i="4"/>
  <c r="B289" i="4"/>
  <c r="B284" i="4"/>
  <c r="B279" i="4"/>
  <c r="B274" i="4"/>
  <c r="B269" i="4"/>
  <c r="B264" i="4"/>
  <c r="B259" i="4"/>
  <c r="B239" i="4"/>
  <c r="B234" i="4"/>
  <c r="B254" i="4"/>
  <c r="B249" i="4"/>
  <c r="B244" i="4"/>
  <c r="B229" i="4"/>
  <c r="B224" i="4"/>
  <c r="B222" i="4"/>
  <c r="B214" i="4"/>
  <c r="B209" i="4"/>
  <c r="B204" i="4"/>
  <c r="F4" i="6"/>
  <c r="F5" i="6"/>
  <c r="F6" i="6"/>
  <c r="I9" i="8"/>
  <c r="G28" i="8"/>
  <c r="H11" i="3"/>
  <c r="R7" i="3"/>
  <c r="R8" i="3"/>
  <c r="R15" i="3"/>
  <c r="C15" i="8"/>
  <c r="K28" i="8"/>
  <c r="L11" i="3"/>
  <c r="H8" i="8"/>
  <c r="F27" i="8"/>
  <c r="G10" i="3"/>
  <c r="H4" i="8"/>
  <c r="B25" i="8"/>
  <c r="C8" i="3"/>
  <c r="H2" i="8"/>
  <c r="B23" i="8"/>
  <c r="C6" i="3"/>
  <c r="I14" i="8"/>
  <c r="K14" i="8"/>
  <c r="I8" i="8"/>
  <c r="K10" i="8"/>
  <c r="I29" i="8"/>
  <c r="J12" i="3"/>
  <c r="I2" i="8"/>
  <c r="K3" i="8"/>
  <c r="E24" i="8"/>
  <c r="F7" i="3"/>
  <c r="C2" i="8"/>
  <c r="E4" i="8"/>
  <c r="K17" i="8"/>
  <c r="J17" i="8"/>
  <c r="I17" i="8"/>
  <c r="H17" i="8"/>
  <c r="E17" i="8"/>
  <c r="D17" i="8"/>
  <c r="C17" i="8"/>
  <c r="B17" i="8"/>
  <c r="J16" i="8"/>
  <c r="I16" i="8"/>
  <c r="D16" i="8"/>
  <c r="L29" i="8"/>
  <c r="M12" i="3"/>
  <c r="C16" i="8"/>
  <c r="K29" i="8"/>
  <c r="L12" i="3"/>
  <c r="B16" i="8"/>
  <c r="J29" i="8"/>
  <c r="K12" i="3"/>
  <c r="I15" i="8"/>
  <c r="H15" i="8"/>
  <c r="B15" i="8"/>
  <c r="J28" i="8"/>
  <c r="K11" i="3"/>
  <c r="H14" i="8"/>
  <c r="B14" i="8"/>
  <c r="K11" i="8"/>
  <c r="J11" i="8"/>
  <c r="I11" i="8"/>
  <c r="H11" i="8"/>
  <c r="E11" i="8"/>
  <c r="D11" i="8"/>
  <c r="C11" i="8"/>
  <c r="B11" i="8"/>
  <c r="J10" i="8"/>
  <c r="H29" i="8"/>
  <c r="I12" i="3"/>
  <c r="I10" i="8"/>
  <c r="G29" i="8"/>
  <c r="H12" i="3"/>
  <c r="H10" i="8"/>
  <c r="F29" i="8"/>
  <c r="G12" i="3"/>
  <c r="D10" i="8"/>
  <c r="H25" i="8"/>
  <c r="I8" i="3"/>
  <c r="C10" i="8"/>
  <c r="G25" i="8"/>
  <c r="H8" i="3"/>
  <c r="B10" i="8"/>
  <c r="F25" i="8"/>
  <c r="G8" i="3"/>
  <c r="H9" i="8"/>
  <c r="F28" i="8"/>
  <c r="G11" i="3"/>
  <c r="C9" i="8"/>
  <c r="G24" i="8"/>
  <c r="H7" i="3"/>
  <c r="B9" i="8"/>
  <c r="F24" i="8"/>
  <c r="G7" i="3"/>
  <c r="B8" i="8"/>
  <c r="K5" i="8"/>
  <c r="J5" i="8"/>
  <c r="I5" i="8"/>
  <c r="H5" i="8"/>
  <c r="E5" i="8"/>
  <c r="D5" i="8"/>
  <c r="C5" i="8"/>
  <c r="B5" i="8"/>
  <c r="J4" i="8"/>
  <c r="D25" i="8"/>
  <c r="E8" i="3"/>
  <c r="I4" i="8"/>
  <c r="C25" i="8"/>
  <c r="D8" i="3"/>
  <c r="D4" i="8"/>
  <c r="C4" i="8"/>
  <c r="B4" i="8"/>
  <c r="I3" i="8"/>
  <c r="C24" i="8"/>
  <c r="D7" i="3"/>
  <c r="H3" i="8"/>
  <c r="B24" i="8"/>
  <c r="C7" i="3"/>
  <c r="C3" i="8"/>
  <c r="B3" i="8"/>
  <c r="B2" i="8"/>
  <c r="K16" i="8"/>
  <c r="J15" i="8"/>
  <c r="G27" i="8"/>
  <c r="H10" i="3"/>
  <c r="C23" i="8"/>
  <c r="D6" i="3"/>
  <c r="K15" i="8"/>
  <c r="J14" i="8"/>
  <c r="J8" i="8"/>
  <c r="H27" i="8"/>
  <c r="I10" i="3"/>
  <c r="K9" i="8"/>
  <c r="I28" i="8"/>
  <c r="J11" i="3"/>
  <c r="K8" i="8"/>
  <c r="I27" i="8"/>
  <c r="J10" i="3"/>
  <c r="C14" i="8"/>
  <c r="D14" i="8"/>
  <c r="J9" i="8"/>
  <c r="H28" i="8"/>
  <c r="I11" i="3"/>
  <c r="K2" i="8"/>
  <c r="E23" i="8"/>
  <c r="F6" i="3"/>
  <c r="J2" i="8"/>
  <c r="D23" i="8"/>
  <c r="E6" i="3"/>
  <c r="J3" i="8"/>
  <c r="D24" i="8"/>
  <c r="E7" i="3"/>
  <c r="K4" i="8"/>
  <c r="C8" i="8"/>
  <c r="E3" i="8"/>
  <c r="E2" i="8"/>
  <c r="D2" i="8"/>
  <c r="D3" i="8"/>
  <c r="E15" i="8"/>
  <c r="M28" i="8"/>
  <c r="N11" i="3"/>
  <c r="D15" i="8"/>
  <c r="L28" i="8"/>
  <c r="M11" i="3"/>
  <c r="E25" i="8"/>
  <c r="F8" i="3"/>
  <c r="E10" i="8"/>
  <c r="I25" i="8"/>
  <c r="J8" i="3"/>
  <c r="E16" i="8"/>
  <c r="M29" i="8"/>
  <c r="N12" i="3"/>
  <c r="D9" i="8"/>
  <c r="H24" i="8"/>
  <c r="I7" i="3"/>
  <c r="E8" i="8"/>
  <c r="E9" i="8"/>
  <c r="I24" i="8"/>
  <c r="J7" i="3"/>
  <c r="D8" i="8"/>
  <c r="E14" i="8"/>
  <c r="H1" i="1"/>
  <c r="B2" i="4"/>
  <c r="P1" i="3"/>
  <c r="C11" i="2"/>
  <c r="G11" i="2"/>
  <c r="E2" i="2"/>
  <c r="C2" i="2"/>
  <c r="B1" i="2"/>
  <c r="B1" i="1"/>
  <c r="R1" i="3"/>
  <c r="P19" i="3"/>
  <c r="B16" i="2"/>
  <c r="D2" i="10"/>
  <c r="F11" i="2"/>
  <c r="B11" i="2"/>
  <c r="C2" i="4"/>
  <c r="D2" i="2"/>
  <c r="B2" i="2"/>
  <c r="A2" i="10"/>
  <c r="F2" i="10"/>
  <c r="F3" i="6"/>
  <c r="R19" i="3"/>
  <c r="B3" i="3"/>
  <c r="H2" i="4"/>
  <c r="G2" i="10"/>
  <c r="E2" i="10"/>
  <c r="D2" i="4"/>
  <c r="C2" i="10"/>
  <c r="B2" i="10"/>
  <c r="R6" i="3"/>
  <c r="P22" i="3"/>
  <c r="M31" i="8"/>
  <c r="N14" i="3"/>
  <c r="K31" i="8"/>
  <c r="L14" i="3"/>
  <c r="M27" i="8"/>
  <c r="N10" i="3"/>
  <c r="K27" i="8"/>
  <c r="L10" i="3"/>
  <c r="I23" i="8"/>
  <c r="J6" i="3"/>
  <c r="G23" i="8"/>
  <c r="H6" i="3"/>
  <c r="L31" i="8"/>
  <c r="M14" i="3"/>
  <c r="J31" i="8"/>
  <c r="K14" i="3"/>
  <c r="L27" i="8"/>
  <c r="M10" i="3"/>
  <c r="J27" i="8"/>
  <c r="K10" i="3"/>
  <c r="H23" i="8"/>
  <c r="I6" i="3"/>
  <c r="F23" i="8"/>
  <c r="G6" i="3"/>
  <c r="M30" i="8"/>
  <c r="N13" i="3"/>
  <c r="K30" i="8"/>
  <c r="L13" i="3"/>
  <c r="I30" i="8"/>
  <c r="J13" i="3"/>
  <c r="G30" i="8"/>
  <c r="H13" i="3"/>
  <c r="I26" i="8"/>
  <c r="J9" i="3"/>
  <c r="G26" i="8"/>
  <c r="H9" i="3"/>
  <c r="E26" i="8"/>
  <c r="F9" i="3"/>
  <c r="C26" i="8"/>
  <c r="D9" i="3"/>
  <c r="L30" i="8"/>
  <c r="M13" i="3"/>
  <c r="J30" i="8"/>
  <c r="K13" i="3"/>
  <c r="H30" i="8"/>
  <c r="I13" i="3"/>
  <c r="F30" i="8"/>
  <c r="G13" i="3"/>
  <c r="H26" i="8"/>
  <c r="I9" i="3"/>
  <c r="F26" i="8"/>
  <c r="G9" i="3"/>
  <c r="D26" i="8"/>
  <c r="E9" i="3"/>
  <c r="B26" i="8"/>
  <c r="C9" i="3"/>
  <c r="K15" i="3"/>
  <c r="M32" i="8"/>
  <c r="N15" i="3"/>
  <c r="E22" i="8"/>
  <c r="F5" i="3"/>
  <c r="C22" i="8"/>
  <c r="D5" i="3"/>
  <c r="D22" i="8"/>
  <c r="E5" i="3"/>
  <c r="K32" i="8"/>
  <c r="L15" i="3"/>
  <c r="L32" i="8"/>
  <c r="M15" i="3"/>
  <c r="B22" i="8"/>
  <c r="C5" i="3"/>
  <c r="E21" i="8"/>
  <c r="F4" i="3"/>
  <c r="C21" i="8"/>
  <c r="D4" i="3"/>
  <c r="D21" i="8"/>
  <c r="E4" i="3"/>
  <c r="B21" i="8"/>
  <c r="C4" i="3"/>
  <c r="B7" i="6"/>
  <c r="B5" i="6"/>
  <c r="B7" i="1"/>
  <c r="M67" i="2"/>
  <c r="G2" i="4"/>
  <c r="H6" i="2"/>
  <c r="H7" i="2"/>
  <c r="D7" i="1"/>
  <c r="B2" i="6"/>
  <c r="F7" i="1"/>
  <c r="B6" i="6"/>
  <c r="H7" i="1"/>
  <c r="P21" i="3"/>
  <c r="P23" i="3"/>
  <c r="P24" i="3"/>
  <c r="P27" i="3"/>
  <c r="P28" i="3"/>
  <c r="P31" i="3"/>
  <c r="R13" i="3"/>
  <c r="P29" i="3"/>
  <c r="R10" i="3"/>
  <c r="P26" i="3"/>
  <c r="C20" i="3" a="1"/>
  <c r="C20" i="3"/>
  <c r="K20" i="3"/>
  <c r="C22" i="3"/>
  <c r="G23" i="3"/>
  <c r="K24" i="3"/>
  <c r="C26" i="3"/>
  <c r="G27" i="3"/>
  <c r="K28" i="3"/>
  <c r="C30" i="3"/>
  <c r="G31" i="3"/>
  <c r="F20" i="3"/>
  <c r="F25" i="3"/>
  <c r="F29" i="3"/>
  <c r="H20" i="3"/>
  <c r="L21" i="3"/>
  <c r="D23" i="3"/>
  <c r="H24" i="3"/>
  <c r="L25" i="3"/>
  <c r="D27" i="3"/>
  <c r="H28" i="3"/>
  <c r="L29" i="3"/>
  <c r="D31" i="3"/>
  <c r="M30" i="3"/>
  <c r="J22" i="3"/>
  <c r="N26" i="3"/>
  <c r="N30" i="3"/>
  <c r="M20" i="3"/>
  <c r="E22" i="3"/>
  <c r="I23" i="3"/>
  <c r="M24" i="3"/>
  <c r="G21" i="3"/>
  <c r="K22" i="3"/>
  <c r="C24" i="3"/>
  <c r="G25" i="3"/>
  <c r="K26" i="3"/>
  <c r="C28" i="3"/>
  <c r="G29" i="3"/>
  <c r="K30" i="3"/>
  <c r="I30" i="3"/>
  <c r="N22" i="3"/>
  <c r="F27" i="3"/>
  <c r="F31" i="3"/>
  <c r="D21" i="3"/>
  <c r="H22" i="3"/>
  <c r="L23" i="3"/>
  <c r="D25" i="3"/>
  <c r="H26" i="3"/>
  <c r="L27" i="3"/>
  <c r="D29" i="3"/>
  <c r="H30" i="3"/>
  <c r="L31" i="3"/>
  <c r="N20" i="3"/>
  <c r="J24" i="3"/>
  <c r="N28" i="3"/>
  <c r="E20" i="3"/>
  <c r="I21" i="3"/>
  <c r="M22" i="3"/>
  <c r="E24" i="3"/>
  <c r="I25" i="3"/>
  <c r="E26" i="3"/>
  <c r="M26" i="3"/>
  <c r="I27" i="3"/>
  <c r="E28" i="3"/>
  <c r="M28" i="3"/>
  <c r="I29" i="3"/>
  <c r="E31" i="3"/>
  <c r="F21" i="3"/>
  <c r="F23" i="3"/>
  <c r="N24" i="3"/>
  <c r="J26" i="3"/>
  <c r="J28" i="3"/>
  <c r="J30" i="3"/>
  <c r="G20" i="3"/>
  <c r="C21" i="3"/>
  <c r="K21" i="3"/>
  <c r="G22" i="3"/>
  <c r="C23" i="3"/>
  <c r="K23" i="3"/>
  <c r="G24" i="3"/>
  <c r="C25" i="3"/>
  <c r="K25" i="3"/>
  <c r="G26" i="3"/>
  <c r="C27" i="3"/>
  <c r="K27" i="3"/>
  <c r="G28" i="3"/>
  <c r="C29" i="3"/>
  <c r="K29" i="3"/>
  <c r="G30" i="3"/>
  <c r="C31" i="3"/>
  <c r="K31" i="3"/>
  <c r="I31" i="3"/>
  <c r="N21" i="3"/>
  <c r="F24" i="3"/>
  <c r="F26" i="3"/>
  <c r="F28" i="3"/>
  <c r="F30" i="3"/>
  <c r="D20" i="3"/>
  <c r="L20" i="3"/>
  <c r="H21" i="3"/>
  <c r="D22" i="3"/>
  <c r="L22" i="3"/>
  <c r="H23" i="3"/>
  <c r="D24" i="3"/>
  <c r="L24" i="3"/>
  <c r="H25" i="3"/>
  <c r="D26" i="3"/>
  <c r="L26" i="3"/>
  <c r="H27" i="3"/>
  <c r="D28" i="3"/>
  <c r="L28" i="3"/>
  <c r="H29" i="3"/>
  <c r="D30" i="3"/>
  <c r="L30" i="3"/>
  <c r="H31" i="3"/>
  <c r="M29" i="3"/>
  <c r="M31" i="3"/>
  <c r="J21" i="3"/>
  <c r="J23" i="3"/>
  <c r="N25" i="3"/>
  <c r="N27" i="3"/>
  <c r="N29" i="3"/>
  <c r="N31" i="3"/>
  <c r="I20" i="3"/>
  <c r="E21" i="3"/>
  <c r="M21" i="3"/>
  <c r="I22" i="3"/>
  <c r="E23" i="3"/>
  <c r="M23" i="3"/>
  <c r="I24" i="3"/>
  <c r="E25" i="3"/>
  <c r="M25" i="3"/>
  <c r="I26" i="3"/>
  <c r="E27" i="3"/>
  <c r="M27" i="3"/>
  <c r="I28" i="3"/>
  <c r="E29" i="3"/>
  <c r="E30" i="3"/>
  <c r="J20" i="3"/>
  <c r="F22" i="3"/>
  <c r="N23" i="3"/>
  <c r="J25" i="3"/>
  <c r="J27" i="3"/>
  <c r="J29" i="3"/>
  <c r="J31" i="3"/>
  <c r="R20" i="3" a="1"/>
  <c r="R31" i="3"/>
  <c r="F303" i="10"/>
  <c r="F302" i="10"/>
  <c r="G302" i="10"/>
  <c r="H302" i="4"/>
  <c r="F301" i="10"/>
  <c r="G301" i="10"/>
  <c r="H301" i="4"/>
  <c r="F300" i="10"/>
  <c r="F299" i="10"/>
  <c r="G299" i="10"/>
  <c r="H299" i="4"/>
  <c r="F298" i="10"/>
  <c r="F297" i="10"/>
  <c r="G297" i="10"/>
  <c r="H297" i="4"/>
  <c r="F296" i="10"/>
  <c r="F295" i="10"/>
  <c r="G295" i="10"/>
  <c r="H295" i="4"/>
  <c r="F294" i="10"/>
  <c r="F293" i="10"/>
  <c r="G293" i="10"/>
  <c r="H293" i="4"/>
  <c r="F292" i="10"/>
  <c r="F291" i="10"/>
  <c r="G291" i="10"/>
  <c r="H291" i="4"/>
  <c r="F290" i="10"/>
  <c r="F289" i="10"/>
  <c r="G289" i="10"/>
  <c r="H289" i="4"/>
  <c r="F288" i="10"/>
  <c r="F287" i="10"/>
  <c r="G287" i="10"/>
  <c r="H287" i="4"/>
  <c r="F286" i="10"/>
  <c r="F285" i="10"/>
  <c r="G285" i="10"/>
  <c r="H285" i="4"/>
  <c r="F284" i="10"/>
  <c r="F283" i="10"/>
  <c r="G283" i="10"/>
  <c r="H283" i="4"/>
  <c r="F282" i="10"/>
  <c r="F281" i="10"/>
  <c r="G281" i="10"/>
  <c r="H281" i="4"/>
  <c r="F280" i="10"/>
  <c r="F279" i="10"/>
  <c r="G279" i="10"/>
  <c r="H279" i="4"/>
  <c r="F278" i="10"/>
  <c r="F277" i="10"/>
  <c r="G277" i="10"/>
  <c r="H277" i="4"/>
  <c r="F276" i="10"/>
  <c r="F275" i="10"/>
  <c r="G275" i="10"/>
  <c r="H275" i="4"/>
  <c r="F274" i="10"/>
  <c r="F273" i="10"/>
  <c r="G273" i="10"/>
  <c r="H273" i="4"/>
  <c r="F272" i="10"/>
  <c r="F271" i="10"/>
  <c r="G271" i="10"/>
  <c r="H271" i="4"/>
  <c r="F270" i="10"/>
  <c r="F269" i="10"/>
  <c r="G269" i="10"/>
  <c r="H269" i="4"/>
  <c r="F268" i="10"/>
  <c r="F267" i="10"/>
  <c r="G267" i="10"/>
  <c r="H267" i="4"/>
  <c r="F266" i="10"/>
  <c r="F265" i="10"/>
  <c r="G265" i="10"/>
  <c r="H265" i="4"/>
  <c r="F264" i="10"/>
  <c r="F263" i="10"/>
  <c r="G263" i="10"/>
  <c r="H263" i="4"/>
  <c r="F262" i="10"/>
  <c r="F261" i="10"/>
  <c r="G261" i="10"/>
  <c r="H261" i="4"/>
  <c r="F260" i="10"/>
  <c r="F259" i="10"/>
  <c r="G259" i="10"/>
  <c r="H259" i="4"/>
  <c r="F258" i="10"/>
  <c r="F257" i="10"/>
  <c r="G257" i="10"/>
  <c r="H257" i="4"/>
  <c r="F256" i="10"/>
  <c r="F255" i="10"/>
  <c r="G255" i="10"/>
  <c r="H255" i="4"/>
  <c r="F254" i="10"/>
  <c r="F253" i="10"/>
  <c r="G253" i="10"/>
  <c r="H253" i="4"/>
  <c r="F252" i="10"/>
  <c r="F251" i="10"/>
  <c r="G251" i="10"/>
  <c r="H251" i="4"/>
  <c r="F250" i="10"/>
  <c r="F249" i="10"/>
  <c r="G249" i="10"/>
  <c r="H249" i="4"/>
  <c r="F248" i="10"/>
  <c r="F247" i="10"/>
  <c r="G247" i="10"/>
  <c r="H247" i="4"/>
  <c r="F246" i="10"/>
  <c r="F245" i="10"/>
  <c r="G245" i="10"/>
  <c r="H245" i="4"/>
  <c r="F244" i="10"/>
  <c r="F243" i="10"/>
  <c r="G243" i="10"/>
  <c r="H243" i="4"/>
  <c r="F242" i="10"/>
  <c r="F241" i="10"/>
  <c r="G241" i="10"/>
  <c r="H241" i="4"/>
  <c r="F240" i="10"/>
  <c r="F239" i="10"/>
  <c r="G239" i="10"/>
  <c r="H239" i="4"/>
  <c r="F238" i="10"/>
  <c r="F237" i="10"/>
  <c r="G237" i="10"/>
  <c r="H237" i="4"/>
  <c r="F236" i="10"/>
  <c r="F235" i="10"/>
  <c r="G235" i="10"/>
  <c r="H235" i="4"/>
  <c r="F234" i="10"/>
  <c r="F233" i="10"/>
  <c r="G233" i="10"/>
  <c r="H233" i="4"/>
  <c r="F232" i="10"/>
  <c r="F231" i="10"/>
  <c r="G231" i="10"/>
  <c r="H231" i="4"/>
  <c r="F230" i="10"/>
  <c r="F229" i="10"/>
  <c r="G229" i="10"/>
  <c r="H229" i="4"/>
  <c r="F228" i="10"/>
  <c r="F227" i="10"/>
  <c r="G227" i="10"/>
  <c r="H227" i="4"/>
  <c r="F226" i="10"/>
  <c r="F225" i="10"/>
  <c r="G225" i="10"/>
  <c r="H225" i="4"/>
  <c r="F224" i="10"/>
  <c r="F223" i="10"/>
  <c r="G223" i="10"/>
  <c r="H223" i="4"/>
  <c r="F222" i="10"/>
  <c r="F221" i="10"/>
  <c r="G221" i="10"/>
  <c r="H221" i="4"/>
  <c r="F220" i="10"/>
  <c r="F219" i="10"/>
  <c r="G219" i="10"/>
  <c r="H219" i="4"/>
  <c r="F218" i="10"/>
  <c r="F217" i="10"/>
  <c r="G217" i="10"/>
  <c r="H217" i="4"/>
  <c r="F216" i="10"/>
  <c r="F215" i="10"/>
  <c r="G215" i="10"/>
  <c r="H215" i="4"/>
  <c r="F214" i="10"/>
  <c r="F213" i="10"/>
  <c r="G213" i="10"/>
  <c r="H213" i="4"/>
  <c r="F212" i="10"/>
  <c r="F211" i="10"/>
  <c r="G211" i="10"/>
  <c r="H211" i="4"/>
  <c r="F210" i="10"/>
  <c r="F209" i="10"/>
  <c r="G209" i="10"/>
  <c r="H209" i="4"/>
  <c r="F208" i="10"/>
  <c r="F207" i="10"/>
  <c r="G207" i="10"/>
  <c r="H207" i="4"/>
  <c r="F206" i="10"/>
  <c r="F205" i="10"/>
  <c r="G205" i="10"/>
  <c r="H205" i="4"/>
  <c r="G300" i="10"/>
  <c r="H300" i="4"/>
  <c r="G298" i="10"/>
  <c r="H298" i="4"/>
  <c r="G296" i="10"/>
  <c r="H296" i="4"/>
  <c r="G294" i="10"/>
  <c r="H294" i="4"/>
  <c r="G292" i="10"/>
  <c r="H292" i="4"/>
  <c r="G290" i="10"/>
  <c r="H290" i="4"/>
  <c r="G288" i="10"/>
  <c r="H288" i="4"/>
  <c r="G286" i="10"/>
  <c r="H286" i="4"/>
  <c r="G284" i="10"/>
  <c r="H284" i="4"/>
  <c r="G282" i="10"/>
  <c r="H282" i="4"/>
  <c r="G280" i="10"/>
  <c r="H280" i="4"/>
  <c r="G278" i="10"/>
  <c r="H278" i="4"/>
  <c r="G276" i="10"/>
  <c r="H276" i="4"/>
  <c r="G274" i="10"/>
  <c r="H274" i="4"/>
  <c r="G272" i="10"/>
  <c r="H272" i="4"/>
  <c r="G270" i="10"/>
  <c r="H270" i="4"/>
  <c r="G268" i="10"/>
  <c r="H268" i="4"/>
  <c r="G266" i="10"/>
  <c r="H266" i="4"/>
  <c r="G264" i="10"/>
  <c r="H264" i="4"/>
  <c r="G262" i="10"/>
  <c r="H262" i="4"/>
  <c r="G260" i="10"/>
  <c r="H260" i="4"/>
  <c r="G258" i="10"/>
  <c r="H258" i="4"/>
  <c r="G256" i="10"/>
  <c r="H256" i="4"/>
  <c r="G254" i="10"/>
  <c r="H254" i="4"/>
  <c r="G252" i="10"/>
  <c r="H252" i="4"/>
  <c r="G250" i="10"/>
  <c r="H250" i="4"/>
  <c r="G248" i="10"/>
  <c r="H248" i="4"/>
  <c r="G246" i="10"/>
  <c r="H246" i="4"/>
  <c r="G244" i="10"/>
  <c r="H244" i="4"/>
  <c r="G242" i="10"/>
  <c r="H242" i="4"/>
  <c r="G240" i="10"/>
  <c r="H240" i="4"/>
  <c r="G238" i="10"/>
  <c r="H238" i="4"/>
  <c r="G236" i="10"/>
  <c r="H236" i="4"/>
  <c r="G234" i="10"/>
  <c r="H234" i="4"/>
  <c r="G232" i="10"/>
  <c r="H232" i="4"/>
  <c r="G230" i="10"/>
  <c r="H230" i="4"/>
  <c r="G228" i="10"/>
  <c r="H228" i="4"/>
  <c r="G226" i="10"/>
  <c r="H226" i="4"/>
  <c r="G224" i="10"/>
  <c r="H224" i="4"/>
  <c r="G222" i="10"/>
  <c r="H222" i="4"/>
  <c r="G220" i="10"/>
  <c r="H220" i="4"/>
  <c r="G218" i="10"/>
  <c r="H218" i="4"/>
  <c r="G216" i="10"/>
  <c r="H216" i="4"/>
  <c r="G214" i="10"/>
  <c r="H214" i="4"/>
  <c r="G212" i="10"/>
  <c r="H212" i="4"/>
  <c r="G210" i="10"/>
  <c r="H210" i="4"/>
  <c r="G208" i="10"/>
  <c r="H208" i="4"/>
  <c r="G206" i="10"/>
  <c r="H206" i="4"/>
  <c r="F204" i="10"/>
  <c r="G204" i="10"/>
  <c r="H204" i="4"/>
  <c r="B103" i="4"/>
  <c r="A4" i="10"/>
  <c r="A105" i="10"/>
  <c r="A109" i="10"/>
  <c r="A113" i="10"/>
  <c r="A117" i="10"/>
  <c r="A121" i="10"/>
  <c r="A125" i="10"/>
  <c r="A131" i="10"/>
  <c r="A135" i="10"/>
  <c r="A139" i="10"/>
  <c r="A143" i="10"/>
  <c r="A147" i="10"/>
  <c r="A151" i="10"/>
  <c r="A155" i="10"/>
  <c r="A159" i="10"/>
  <c r="A163" i="10"/>
  <c r="A167" i="10"/>
  <c r="A171" i="10"/>
  <c r="A175" i="10"/>
  <c r="A179" i="10"/>
  <c r="A183" i="10"/>
  <c r="A187" i="10"/>
  <c r="A191" i="10"/>
  <c r="A195" i="10"/>
  <c r="A199" i="10"/>
  <c r="A29" i="10"/>
  <c r="A33" i="10"/>
  <c r="A37" i="10"/>
  <c r="A41" i="10"/>
  <c r="A45" i="10"/>
  <c r="A49" i="10"/>
  <c r="A53" i="10"/>
  <c r="A57" i="10"/>
  <c r="A61" i="10"/>
  <c r="A65" i="10"/>
  <c r="A69" i="10"/>
  <c r="A73" i="10"/>
  <c r="A77" i="10"/>
  <c r="A81" i="10"/>
  <c r="A85" i="10"/>
  <c r="R23" i="3"/>
  <c r="F86" i="10"/>
  <c r="F85" i="10"/>
  <c r="G85" i="10"/>
  <c r="H85" i="4"/>
  <c r="A89" i="10"/>
  <c r="A93" i="10"/>
  <c r="A97" i="10"/>
  <c r="A101" i="10"/>
  <c r="A10" i="10"/>
  <c r="A14" i="10"/>
  <c r="A18" i="10"/>
  <c r="A22" i="10"/>
  <c r="A106" i="10"/>
  <c r="A110" i="10"/>
  <c r="A114" i="10"/>
  <c r="A118" i="10"/>
  <c r="A122" i="10"/>
  <c r="A126" i="10"/>
  <c r="A132" i="10"/>
  <c r="A136" i="10"/>
  <c r="A140" i="10"/>
  <c r="A144" i="10"/>
  <c r="A148" i="10"/>
  <c r="A152" i="10"/>
  <c r="A156" i="10"/>
  <c r="A160" i="10"/>
  <c r="A164" i="10"/>
  <c r="A168" i="10"/>
  <c r="A172" i="10"/>
  <c r="A176" i="10"/>
  <c r="A180" i="10"/>
  <c r="A30" i="10"/>
  <c r="A34" i="10"/>
  <c r="A38" i="10"/>
  <c r="A42" i="10"/>
  <c r="A46" i="10"/>
  <c r="A50" i="10"/>
  <c r="A54" i="10"/>
  <c r="A58" i="10"/>
  <c r="A62" i="10"/>
  <c r="A66" i="10"/>
  <c r="F67" i="10"/>
  <c r="F66" i="10"/>
  <c r="G66" i="10"/>
  <c r="H66" i="4"/>
  <c r="A70" i="10"/>
  <c r="A74" i="10"/>
  <c r="A78" i="10"/>
  <c r="A82" i="10"/>
  <c r="A86" i="10"/>
  <c r="A90" i="10"/>
  <c r="A94" i="10"/>
  <c r="A98" i="10"/>
  <c r="A102" i="10"/>
  <c r="A11" i="10"/>
  <c r="A15" i="10"/>
  <c r="A19" i="10"/>
  <c r="A23" i="10"/>
  <c r="A27" i="10"/>
  <c r="A7" i="10"/>
  <c r="A26" i="10"/>
  <c r="F27" i="10"/>
  <c r="F26" i="10"/>
  <c r="G26" i="10"/>
  <c r="H26" i="4"/>
  <c r="A128" i="10"/>
  <c r="A184" i="10"/>
  <c r="A188" i="10"/>
  <c r="A192" i="10"/>
  <c r="A196" i="10"/>
  <c r="A200" i="10"/>
  <c r="A107" i="10"/>
  <c r="A111" i="10"/>
  <c r="A115" i="10"/>
  <c r="A119" i="10"/>
  <c r="A123" i="10"/>
  <c r="A129" i="10"/>
  <c r="A133" i="10"/>
  <c r="A137" i="10"/>
  <c r="A141" i="10"/>
  <c r="A145" i="10"/>
  <c r="A149" i="10"/>
  <c r="A153" i="10"/>
  <c r="A157" i="10"/>
  <c r="A161" i="10"/>
  <c r="A165" i="10"/>
  <c r="A169" i="10"/>
  <c r="A173" i="10"/>
  <c r="A177" i="10"/>
  <c r="A181" i="10"/>
  <c r="A185" i="10"/>
  <c r="A189" i="10"/>
  <c r="A193" i="10"/>
  <c r="A197" i="10"/>
  <c r="A201" i="10"/>
  <c r="A31" i="10"/>
  <c r="A35" i="10"/>
  <c r="A39" i="10"/>
  <c r="A43" i="10"/>
  <c r="A47" i="10"/>
  <c r="A51" i="10"/>
  <c r="A55" i="10"/>
  <c r="A59" i="10"/>
  <c r="A63" i="10"/>
  <c r="A67" i="10"/>
  <c r="A71" i="10"/>
  <c r="A75" i="10"/>
  <c r="A79" i="10"/>
  <c r="A83" i="10"/>
  <c r="A87" i="10"/>
  <c r="A91" i="10"/>
  <c r="F92" i="10"/>
  <c r="F91" i="10"/>
  <c r="G91" i="10"/>
  <c r="H91" i="4"/>
  <c r="A95" i="10"/>
  <c r="A99" i="10"/>
  <c r="A8" i="10"/>
  <c r="A12" i="10"/>
  <c r="A16" i="10"/>
  <c r="A20" i="10"/>
  <c r="A24" i="10"/>
  <c r="A108" i="10"/>
  <c r="A112" i="10"/>
  <c r="A116" i="10"/>
  <c r="A120" i="10"/>
  <c r="A124" i="10"/>
  <c r="A130" i="10"/>
  <c r="A134" i="10"/>
  <c r="A138" i="10"/>
  <c r="A142" i="10"/>
  <c r="A146" i="10"/>
  <c r="A150" i="10"/>
  <c r="A154" i="10"/>
  <c r="A158" i="10"/>
  <c r="A162" i="10"/>
  <c r="A166" i="10"/>
  <c r="A170" i="10"/>
  <c r="A174" i="10"/>
  <c r="A178" i="10"/>
  <c r="A182" i="10"/>
  <c r="R27" i="3"/>
  <c r="F183" i="10"/>
  <c r="F182" i="10"/>
  <c r="G182" i="10"/>
  <c r="H182" i="4"/>
  <c r="A186" i="10"/>
  <c r="A190" i="10"/>
  <c r="F191" i="10"/>
  <c r="F190" i="10"/>
  <c r="G190" i="10"/>
  <c r="H190" i="4"/>
  <c r="A194" i="10"/>
  <c r="A198" i="10"/>
  <c r="F199" i="10"/>
  <c r="F198" i="10"/>
  <c r="G198" i="10"/>
  <c r="H198" i="4"/>
  <c r="A202" i="10"/>
  <c r="A32" i="10"/>
  <c r="A36" i="10"/>
  <c r="A40" i="10"/>
  <c r="A44" i="10"/>
  <c r="A48" i="10"/>
  <c r="A52" i="10"/>
  <c r="A56" i="10"/>
  <c r="A60" i="10"/>
  <c r="A64" i="10"/>
  <c r="F65" i="10"/>
  <c r="F64" i="10"/>
  <c r="G64" i="10"/>
  <c r="H64" i="4"/>
  <c r="A68" i="10"/>
  <c r="A72" i="10"/>
  <c r="A76" i="10"/>
  <c r="A80" i="10"/>
  <c r="A84" i="10"/>
  <c r="A88" i="10"/>
  <c r="A92" i="10"/>
  <c r="A96" i="10"/>
  <c r="A100" i="10"/>
  <c r="A9" i="10"/>
  <c r="A13" i="10"/>
  <c r="A17" i="10"/>
  <c r="A21" i="10"/>
  <c r="A25" i="10"/>
  <c r="A5" i="10"/>
  <c r="A28" i="10"/>
  <c r="F29" i="10"/>
  <c r="F28" i="10"/>
  <c r="G28" i="10"/>
  <c r="H28" i="4"/>
  <c r="A6" i="10"/>
  <c r="A127" i="10"/>
  <c r="A104" i="10"/>
  <c r="F97" i="10"/>
  <c r="F96" i="10"/>
  <c r="G96" i="10"/>
  <c r="H96" i="4"/>
  <c r="F33" i="10"/>
  <c r="F32" i="10"/>
  <c r="G32" i="10"/>
  <c r="H32" i="4"/>
  <c r="F60" i="10"/>
  <c r="F59" i="10"/>
  <c r="G59" i="10"/>
  <c r="H59" i="4"/>
  <c r="F99" i="10"/>
  <c r="F98" i="10"/>
  <c r="G98" i="10"/>
  <c r="H98" i="4"/>
  <c r="F35" i="10"/>
  <c r="F34" i="10"/>
  <c r="G34" i="10"/>
  <c r="H34" i="4"/>
  <c r="F23" i="10"/>
  <c r="F22" i="10"/>
  <c r="G22" i="10"/>
  <c r="H22" i="4"/>
  <c r="F54" i="10"/>
  <c r="F53" i="10"/>
  <c r="G53" i="10"/>
  <c r="H53" i="4"/>
  <c r="F18" i="10"/>
  <c r="F17" i="10"/>
  <c r="G17" i="10"/>
  <c r="H17" i="4"/>
  <c r="F81" i="10"/>
  <c r="F80" i="10"/>
  <c r="G80" i="10"/>
  <c r="H80" i="4"/>
  <c r="F49" i="10"/>
  <c r="F48" i="10"/>
  <c r="G48" i="10"/>
  <c r="H48" i="4"/>
  <c r="F13" i="10"/>
  <c r="F12" i="10"/>
  <c r="G12" i="10"/>
  <c r="H12" i="4"/>
  <c r="F76" i="10"/>
  <c r="F75" i="10"/>
  <c r="G75" i="10"/>
  <c r="H75" i="4"/>
  <c r="F43" i="10"/>
  <c r="F44" i="10"/>
  <c r="G43" i="10"/>
  <c r="H43" i="4"/>
  <c r="F20" i="10"/>
  <c r="F19" i="10"/>
  <c r="G19" i="10"/>
  <c r="H19" i="4"/>
  <c r="F83" i="10"/>
  <c r="F82" i="10"/>
  <c r="G82" i="10"/>
  <c r="H82" i="4"/>
  <c r="F51" i="10"/>
  <c r="F50" i="10"/>
  <c r="G50" i="10"/>
  <c r="H50" i="4"/>
  <c r="F102" i="10"/>
  <c r="F101" i="10"/>
  <c r="G101" i="10"/>
  <c r="H101" i="4"/>
  <c r="F70" i="10"/>
  <c r="F69" i="10"/>
  <c r="G69" i="10"/>
  <c r="H69" i="4"/>
  <c r="F38" i="10"/>
  <c r="F37" i="10"/>
  <c r="G37" i="10"/>
  <c r="H37" i="4"/>
  <c r="F77" i="10"/>
  <c r="G76" i="10"/>
  <c r="H76" i="4"/>
  <c r="F45" i="10"/>
  <c r="G44" i="10"/>
  <c r="H44" i="4"/>
  <c r="F88" i="10"/>
  <c r="F87" i="10"/>
  <c r="G87" i="10"/>
  <c r="H87" i="4"/>
  <c r="F72" i="10"/>
  <c r="F71" i="10"/>
  <c r="G71" i="10"/>
  <c r="H71" i="4"/>
  <c r="F40" i="10"/>
  <c r="F39" i="10"/>
  <c r="G39" i="10"/>
  <c r="H39" i="4"/>
  <c r="F8" i="10"/>
  <c r="F7" i="10"/>
  <c r="G7" i="10"/>
  <c r="H7" i="4"/>
  <c r="F16" i="10"/>
  <c r="F15" i="10"/>
  <c r="G15" i="10"/>
  <c r="H15" i="4"/>
  <c r="F95" i="10"/>
  <c r="F94" i="10"/>
  <c r="G94" i="10"/>
  <c r="H94" i="4"/>
  <c r="F79" i="10"/>
  <c r="F78" i="10"/>
  <c r="G78" i="10"/>
  <c r="H78" i="4"/>
  <c r="F63" i="10"/>
  <c r="F62" i="10"/>
  <c r="G62" i="10"/>
  <c r="H62" i="4"/>
  <c r="F47" i="10"/>
  <c r="F46" i="10"/>
  <c r="G46" i="10"/>
  <c r="H46" i="4"/>
  <c r="F31" i="10"/>
  <c r="F30" i="10"/>
  <c r="G30" i="10"/>
  <c r="H30" i="4"/>
  <c r="G18" i="10"/>
  <c r="H18" i="4"/>
  <c r="G97" i="10"/>
  <c r="H97" i="4"/>
  <c r="G81" i="10"/>
  <c r="H81" i="4"/>
  <c r="G65" i="10"/>
  <c r="H65" i="4"/>
  <c r="G49" i="10"/>
  <c r="H49" i="4"/>
  <c r="G33" i="10"/>
  <c r="H33" i="4"/>
  <c r="F106" i="10"/>
  <c r="F105" i="10"/>
  <c r="G105" i="10"/>
  <c r="H105" i="4"/>
  <c r="F5" i="10"/>
  <c r="F4" i="10"/>
  <c r="G4" i="10"/>
  <c r="H4" i="4"/>
  <c r="F6" i="10"/>
  <c r="G5" i="10"/>
  <c r="H5" i="4"/>
  <c r="G6" i="10"/>
  <c r="H6" i="4"/>
  <c r="F25" i="10"/>
  <c r="G25" i="10"/>
  <c r="H25" i="4"/>
  <c r="F10" i="10"/>
  <c r="F9" i="10"/>
  <c r="G9" i="10"/>
  <c r="H9" i="4"/>
  <c r="F100" i="10"/>
  <c r="G100" i="10"/>
  <c r="H100" i="4"/>
  <c r="F89" i="10"/>
  <c r="G88" i="10"/>
  <c r="H88" i="4"/>
  <c r="F73" i="10"/>
  <c r="G72" i="10"/>
  <c r="H72" i="4"/>
  <c r="F68" i="10"/>
  <c r="G68" i="10"/>
  <c r="H68" i="4"/>
  <c r="F57" i="10"/>
  <c r="F56" i="10"/>
  <c r="G56" i="10"/>
  <c r="H56" i="4"/>
  <c r="F52" i="10"/>
  <c r="G52" i="10"/>
  <c r="H52" i="4"/>
  <c r="F41" i="10"/>
  <c r="G40" i="10"/>
  <c r="H40" i="4"/>
  <c r="F21" i="10"/>
  <c r="G20" i="10"/>
  <c r="H20" i="4"/>
  <c r="G16" i="10"/>
  <c r="H16" i="4"/>
  <c r="G99" i="10"/>
  <c r="H99" i="4"/>
  <c r="F84" i="10"/>
  <c r="G83" i="10"/>
  <c r="H83" i="4"/>
  <c r="G67" i="10"/>
  <c r="H67" i="4"/>
  <c r="G63" i="10"/>
  <c r="H63" i="4"/>
  <c r="G51" i="10"/>
  <c r="H51" i="4"/>
  <c r="G47" i="10"/>
  <c r="H47" i="4"/>
  <c r="F36" i="10"/>
  <c r="G35" i="10"/>
  <c r="H35" i="4"/>
  <c r="G27" i="10"/>
  <c r="H27" i="4"/>
  <c r="F24" i="10"/>
  <c r="G23" i="10"/>
  <c r="H23" i="4"/>
  <c r="F11" i="10"/>
  <c r="G11" i="10"/>
  <c r="H11" i="4"/>
  <c r="F103" i="10"/>
  <c r="G102" i="10"/>
  <c r="H102" i="4"/>
  <c r="F90" i="10"/>
  <c r="G90" i="10"/>
  <c r="H90" i="4"/>
  <c r="G86" i="10"/>
  <c r="H86" i="4"/>
  <c r="F74" i="10"/>
  <c r="G74" i="10"/>
  <c r="H74" i="4"/>
  <c r="G70" i="10"/>
  <c r="H70" i="4"/>
  <c r="F58" i="10"/>
  <c r="G58" i="10"/>
  <c r="H58" i="4"/>
  <c r="F55" i="10"/>
  <c r="G54" i="10"/>
  <c r="H54" i="4"/>
  <c r="F42" i="10"/>
  <c r="G42" i="10"/>
  <c r="H42" i="4"/>
  <c r="G38" i="10"/>
  <c r="H38" i="4"/>
  <c r="F14" i="10"/>
  <c r="G14" i="10"/>
  <c r="H14" i="4"/>
  <c r="G10" i="10"/>
  <c r="H10" i="4"/>
  <c r="F93" i="10"/>
  <c r="G93" i="10"/>
  <c r="H93" i="4"/>
  <c r="G89" i="10"/>
  <c r="H89" i="4"/>
  <c r="G77" i="10"/>
  <c r="H77" i="4"/>
  <c r="G73" i="10"/>
  <c r="H73" i="4"/>
  <c r="F61" i="10"/>
  <c r="G61" i="10"/>
  <c r="H61" i="4"/>
  <c r="G57" i="10"/>
  <c r="H57" i="4"/>
  <c r="G45" i="10"/>
  <c r="H45" i="4"/>
  <c r="G41" i="10"/>
  <c r="H41" i="4"/>
  <c r="G29" i="10"/>
  <c r="H29" i="4"/>
  <c r="F109" i="10"/>
  <c r="F108" i="10"/>
  <c r="G108" i="10"/>
  <c r="H108" i="4"/>
  <c r="F202" i="10"/>
  <c r="F201" i="10"/>
  <c r="G201" i="10"/>
  <c r="H201" i="4"/>
  <c r="F145" i="10"/>
  <c r="F144" i="10"/>
  <c r="G144" i="10"/>
  <c r="H144" i="4"/>
  <c r="F175" i="10"/>
  <c r="F174" i="10"/>
  <c r="G174" i="10"/>
  <c r="H174" i="4"/>
  <c r="F138" i="10"/>
  <c r="F137" i="10"/>
  <c r="G137" i="10"/>
  <c r="H137" i="4"/>
  <c r="F172" i="10"/>
  <c r="F171" i="10"/>
  <c r="G171" i="10"/>
  <c r="H171" i="4"/>
  <c r="F143" i="10"/>
  <c r="F142" i="10"/>
  <c r="G142" i="10"/>
  <c r="H142" i="4"/>
  <c r="F170" i="10"/>
  <c r="F169" i="10"/>
  <c r="G169" i="10"/>
  <c r="H169" i="4"/>
  <c r="F177" i="10"/>
  <c r="F176" i="10"/>
  <c r="G176" i="10"/>
  <c r="H176" i="4"/>
  <c r="F111" i="10"/>
  <c r="F110" i="10"/>
  <c r="G110" i="10"/>
  <c r="H110" i="4"/>
  <c r="F140" i="10"/>
  <c r="F139" i="10"/>
  <c r="G139" i="10"/>
  <c r="H139" i="4"/>
  <c r="F159" i="10"/>
  <c r="F158" i="10"/>
  <c r="G158" i="10"/>
  <c r="H158" i="4"/>
  <c r="F125" i="10"/>
  <c r="F124" i="10"/>
  <c r="G124" i="10"/>
  <c r="H124" i="4"/>
  <c r="F186" i="10"/>
  <c r="F185" i="10"/>
  <c r="G185" i="10"/>
  <c r="H185" i="4"/>
  <c r="F154" i="10"/>
  <c r="F153" i="10"/>
  <c r="G153" i="10"/>
  <c r="H153" i="4"/>
  <c r="F120" i="10"/>
  <c r="F119" i="10"/>
  <c r="G119" i="10"/>
  <c r="H119" i="4"/>
  <c r="F161" i="10"/>
  <c r="F160" i="10"/>
  <c r="G160" i="10"/>
  <c r="H160" i="4"/>
  <c r="F127" i="10"/>
  <c r="F126" i="10"/>
  <c r="G126" i="10"/>
  <c r="H126" i="4"/>
  <c r="F188" i="10"/>
  <c r="F187" i="10"/>
  <c r="G187" i="10"/>
  <c r="H187" i="4"/>
  <c r="F156" i="10"/>
  <c r="F155" i="10"/>
  <c r="G155" i="10"/>
  <c r="H155" i="4"/>
  <c r="F122" i="10"/>
  <c r="F121" i="10"/>
  <c r="G121" i="10"/>
  <c r="H121" i="4"/>
  <c r="F104" i="10"/>
  <c r="G104" i="10"/>
  <c r="H104" i="4"/>
  <c r="G120" i="10"/>
  <c r="H120" i="4"/>
  <c r="F116" i="10"/>
  <c r="F115" i="10"/>
  <c r="G115" i="10"/>
  <c r="H115" i="4"/>
  <c r="B200" i="4"/>
  <c r="B184" i="4"/>
  <c r="B127" i="4"/>
  <c r="B190" i="4"/>
  <c r="F167" i="10"/>
  <c r="F166" i="10"/>
  <c r="G166" i="10"/>
  <c r="H166" i="4"/>
  <c r="F151" i="10"/>
  <c r="F150" i="10"/>
  <c r="G150" i="10"/>
  <c r="H150" i="4"/>
  <c r="F147" i="10"/>
  <c r="F146" i="10"/>
  <c r="G146" i="10"/>
  <c r="H146" i="4"/>
  <c r="F135" i="10"/>
  <c r="F134" i="10"/>
  <c r="G134" i="10"/>
  <c r="H134" i="4"/>
  <c r="F131" i="10"/>
  <c r="F130" i="10"/>
  <c r="G130" i="10"/>
  <c r="H130" i="4"/>
  <c r="F117" i="10"/>
  <c r="G116" i="10"/>
  <c r="H116" i="4"/>
  <c r="F194" i="10"/>
  <c r="F193" i="10"/>
  <c r="G193" i="10"/>
  <c r="H193" i="4"/>
  <c r="F189" i="10"/>
  <c r="G189" i="10"/>
  <c r="H189" i="4"/>
  <c r="F178" i="10"/>
  <c r="G177" i="10"/>
  <c r="H177" i="4"/>
  <c r="F173" i="10"/>
  <c r="G173" i="10"/>
  <c r="H173" i="4"/>
  <c r="F162" i="10"/>
  <c r="G161" i="10"/>
  <c r="H161" i="4"/>
  <c r="F157" i="10"/>
  <c r="G157" i="10"/>
  <c r="H157" i="4"/>
  <c r="G145" i="10"/>
  <c r="H145" i="4"/>
  <c r="F141" i="10"/>
  <c r="G141" i="10"/>
  <c r="H141" i="4"/>
  <c r="F129" i="10"/>
  <c r="G129" i="10"/>
  <c r="H129" i="4"/>
  <c r="F123" i="10"/>
  <c r="G123" i="10"/>
  <c r="H123" i="4"/>
  <c r="F112" i="10"/>
  <c r="G111" i="10"/>
  <c r="H111" i="4"/>
  <c r="F107" i="10"/>
  <c r="G107" i="10"/>
  <c r="H107" i="4"/>
  <c r="F197" i="10"/>
  <c r="F196" i="10"/>
  <c r="G196" i="10"/>
  <c r="H196" i="4"/>
  <c r="G188" i="10"/>
  <c r="H188" i="4"/>
  <c r="B128" i="4"/>
  <c r="F181" i="10"/>
  <c r="F180" i="10"/>
  <c r="G180" i="10"/>
  <c r="H180" i="4"/>
  <c r="F168" i="10"/>
  <c r="G168" i="10"/>
  <c r="H168" i="4"/>
  <c r="F165" i="10"/>
  <c r="F164" i="10"/>
  <c r="G164" i="10"/>
  <c r="H164" i="4"/>
  <c r="F152" i="10"/>
  <c r="G152" i="10"/>
  <c r="H152" i="4"/>
  <c r="F149" i="10"/>
  <c r="F148" i="10"/>
  <c r="G148" i="10"/>
  <c r="H148" i="4"/>
  <c r="F136" i="10"/>
  <c r="G136" i="10"/>
  <c r="H136" i="4"/>
  <c r="F133" i="10"/>
  <c r="F132" i="10"/>
  <c r="G132" i="10"/>
  <c r="H132" i="4"/>
  <c r="F118" i="10"/>
  <c r="G118" i="10"/>
  <c r="H118" i="4"/>
  <c r="F114" i="10"/>
  <c r="G114" i="10"/>
  <c r="H114" i="4"/>
  <c r="F195" i="10"/>
  <c r="G195" i="10"/>
  <c r="H195" i="4"/>
  <c r="F192" i="10"/>
  <c r="G191" i="10"/>
  <c r="H191" i="4"/>
  <c r="F179" i="10"/>
  <c r="G179" i="10"/>
  <c r="H179" i="4"/>
  <c r="G175" i="10"/>
  <c r="H175" i="4"/>
  <c r="F163" i="10"/>
  <c r="G163" i="10"/>
  <c r="H163" i="4"/>
  <c r="G159" i="10"/>
  <c r="H159" i="4"/>
  <c r="G147" i="10"/>
  <c r="H147" i="4"/>
  <c r="G143" i="10"/>
  <c r="H143" i="4"/>
  <c r="G131" i="10"/>
  <c r="H131" i="4"/>
  <c r="G125" i="10"/>
  <c r="H125" i="4"/>
  <c r="F113" i="10"/>
  <c r="G113" i="10"/>
  <c r="H113" i="4"/>
  <c r="G109" i="10"/>
  <c r="H109" i="4"/>
  <c r="B198" i="4"/>
  <c r="B182" i="4"/>
  <c r="G170" i="10"/>
  <c r="H170" i="4"/>
  <c r="G154" i="10"/>
  <c r="H154" i="4"/>
  <c r="G149" i="10"/>
  <c r="H149" i="4"/>
  <c r="B192" i="4"/>
  <c r="G172" i="10"/>
  <c r="H172" i="4"/>
  <c r="G156" i="10"/>
  <c r="H156" i="4"/>
  <c r="G140" i="10"/>
  <c r="H140" i="4"/>
  <c r="G122" i="10"/>
  <c r="H122" i="4"/>
  <c r="G106" i="10"/>
  <c r="H106" i="4"/>
  <c r="F200" i="10"/>
  <c r="G199" i="10"/>
  <c r="H199" i="4"/>
  <c r="F184" i="10"/>
  <c r="G183" i="10"/>
  <c r="H183" i="4"/>
  <c r="G167" i="10"/>
  <c r="H167" i="4"/>
  <c r="G151" i="10"/>
  <c r="H151" i="4"/>
  <c r="G135" i="10"/>
  <c r="H135" i="4"/>
  <c r="G117" i="10"/>
  <c r="H117" i="4"/>
  <c r="B21" i="4"/>
  <c r="B13" i="4"/>
  <c r="B92" i="4"/>
  <c r="B84" i="4"/>
  <c r="B60" i="4"/>
  <c r="B36" i="4"/>
  <c r="B178" i="4"/>
  <c r="B162" i="4"/>
  <c r="B138" i="4"/>
  <c r="B112" i="4"/>
  <c r="B24" i="4"/>
  <c r="B8" i="4"/>
  <c r="B95" i="4"/>
  <c r="B79" i="4"/>
  <c r="B55" i="4"/>
  <c r="B31" i="4"/>
  <c r="B197" i="4"/>
  <c r="B181" i="4"/>
  <c r="B165" i="4"/>
  <c r="B133" i="4"/>
  <c r="B28" i="4"/>
  <c r="B25" i="4"/>
  <c r="G21" i="10"/>
  <c r="H21" i="4"/>
  <c r="B17" i="4"/>
  <c r="G13" i="10"/>
  <c r="H13" i="4"/>
  <c r="B9" i="4"/>
  <c r="B96" i="4"/>
  <c r="G92" i="10"/>
  <c r="H92" i="4"/>
  <c r="B88" i="4"/>
  <c r="G84" i="10"/>
  <c r="H84" i="4"/>
  <c r="B80" i="4"/>
  <c r="B72" i="4"/>
  <c r="B64" i="4"/>
  <c r="G60" i="10"/>
  <c r="H60" i="4"/>
  <c r="B56" i="4"/>
  <c r="B48" i="4"/>
  <c r="B40" i="4"/>
  <c r="G36" i="10"/>
  <c r="H36" i="4"/>
  <c r="B32" i="4"/>
  <c r="F203" i="10"/>
  <c r="G202" i="10"/>
  <c r="H202" i="4"/>
  <c r="G194" i="10"/>
  <c r="H194" i="4"/>
  <c r="G186" i="10"/>
  <c r="H186" i="4"/>
  <c r="G178" i="10"/>
  <c r="H178" i="4"/>
  <c r="B174" i="4"/>
  <c r="B166" i="4"/>
  <c r="G162" i="10"/>
  <c r="H162" i="4"/>
  <c r="B158" i="4"/>
  <c r="B150" i="4"/>
  <c r="B142" i="4"/>
  <c r="G138" i="10"/>
  <c r="H138" i="4"/>
  <c r="B134" i="4"/>
  <c r="B124" i="4"/>
  <c r="B116" i="4"/>
  <c r="G112" i="10"/>
  <c r="H112" i="4"/>
  <c r="B108" i="4"/>
  <c r="G24" i="10"/>
  <c r="H24" i="4"/>
  <c r="B20" i="4"/>
  <c r="B12" i="4"/>
  <c r="G8" i="10"/>
  <c r="H8" i="4"/>
  <c r="B99" i="4"/>
  <c r="G95" i="10"/>
  <c r="H95" i="4"/>
  <c r="B91" i="4"/>
  <c r="B83" i="4"/>
  <c r="G79" i="10"/>
  <c r="H79" i="4"/>
  <c r="B75" i="4"/>
  <c r="B67" i="4"/>
  <c r="B59" i="4"/>
  <c r="G55" i="10"/>
  <c r="H55" i="4"/>
  <c r="B51" i="4"/>
  <c r="B43" i="4"/>
  <c r="B35" i="4"/>
  <c r="G31" i="10"/>
  <c r="H31" i="4"/>
  <c r="B201" i="4"/>
  <c r="G197" i="10"/>
  <c r="H197" i="4"/>
  <c r="B193" i="4"/>
  <c r="B185" i="4"/>
  <c r="G181" i="10"/>
  <c r="H181" i="4"/>
  <c r="B177" i="4"/>
  <c r="B169" i="4"/>
  <c r="G165" i="10"/>
  <c r="H165" i="4"/>
  <c r="B161" i="4"/>
  <c r="B153" i="4"/>
  <c r="B145" i="4"/>
  <c r="B137" i="4"/>
  <c r="G133" i="10"/>
  <c r="H133" i="4"/>
  <c r="B129" i="4"/>
  <c r="B119" i="4"/>
  <c r="B111" i="4"/>
  <c r="B26" i="4"/>
  <c r="B27" i="4"/>
  <c r="B19" i="4"/>
  <c r="B11" i="4"/>
  <c r="B98" i="4"/>
  <c r="B90" i="4"/>
  <c r="B82" i="4"/>
  <c r="B74" i="4"/>
  <c r="B66" i="4"/>
  <c r="B58" i="4"/>
  <c r="B50" i="4"/>
  <c r="B42" i="4"/>
  <c r="B34" i="4"/>
  <c r="B202" i="4"/>
  <c r="G200" i="10"/>
  <c r="H200" i="4"/>
  <c r="B194" i="4"/>
  <c r="G192" i="10"/>
  <c r="H192" i="4"/>
  <c r="B186" i="4"/>
  <c r="G184" i="10"/>
  <c r="H184" i="4"/>
  <c r="B176" i="4"/>
  <c r="B168" i="4"/>
  <c r="B160" i="4"/>
  <c r="B152" i="4"/>
  <c r="B144" i="4"/>
  <c r="B136" i="4"/>
  <c r="B126" i="4"/>
  <c r="B118" i="4"/>
  <c r="B110" i="4"/>
  <c r="B22" i="4"/>
  <c r="B14" i="4"/>
  <c r="B101" i="4"/>
  <c r="B93" i="4"/>
  <c r="B85" i="4"/>
  <c r="B77" i="4"/>
  <c r="B69" i="4"/>
  <c r="B61" i="4"/>
  <c r="B53" i="4"/>
  <c r="B45" i="4"/>
  <c r="B37" i="4"/>
  <c r="B29" i="4"/>
  <c r="B195" i="4"/>
  <c r="B187" i="4"/>
  <c r="B179" i="4"/>
  <c r="B171" i="4"/>
  <c r="B163" i="4"/>
  <c r="B155" i="4"/>
  <c r="B147" i="4"/>
  <c r="B139" i="4"/>
  <c r="B131" i="4"/>
  <c r="F128" i="10"/>
  <c r="G127" i="10"/>
  <c r="H127" i="4"/>
  <c r="B121" i="4"/>
  <c r="B113" i="4"/>
  <c r="B105" i="4"/>
  <c r="B196" i="4"/>
  <c r="B188" i="4"/>
  <c r="B104" i="4"/>
  <c r="B6" i="4"/>
  <c r="B5" i="4"/>
  <c r="B100" i="4"/>
  <c r="B76" i="4"/>
  <c r="B68" i="4"/>
  <c r="B52" i="4"/>
  <c r="B44" i="4"/>
  <c r="B170" i="4"/>
  <c r="B154" i="4"/>
  <c r="B146" i="4"/>
  <c r="B130" i="4"/>
  <c r="B120" i="4"/>
  <c r="B16" i="4"/>
  <c r="B87" i="4"/>
  <c r="B71" i="4"/>
  <c r="B63" i="4"/>
  <c r="B47" i="4"/>
  <c r="B39" i="4"/>
  <c r="B189" i="4"/>
  <c r="B173" i="4"/>
  <c r="B157" i="4"/>
  <c r="B149" i="4"/>
  <c r="B141" i="4"/>
  <c r="B123" i="4"/>
  <c r="B115" i="4"/>
  <c r="B107" i="4"/>
  <c r="B7" i="4"/>
  <c r="B23" i="4"/>
  <c r="B15" i="4"/>
  <c r="B102" i="4"/>
  <c r="B94" i="4"/>
  <c r="B86" i="4"/>
  <c r="B78" i="4"/>
  <c r="B70" i="4"/>
  <c r="B62" i="4"/>
  <c r="B54" i="4"/>
  <c r="B46" i="4"/>
  <c r="B38" i="4"/>
  <c r="B30" i="4"/>
  <c r="B180" i="4"/>
  <c r="B172" i="4"/>
  <c r="B164" i="4"/>
  <c r="B156" i="4"/>
  <c r="B148" i="4"/>
  <c r="B140" i="4"/>
  <c r="B132" i="4"/>
  <c r="G128" i="10"/>
  <c r="H128" i="4"/>
  <c r="B122" i="4"/>
  <c r="B114" i="4"/>
  <c r="B106" i="4"/>
  <c r="B18" i="4"/>
  <c r="B10" i="4"/>
  <c r="B97" i="4"/>
  <c r="B89" i="4"/>
  <c r="B81" i="4"/>
  <c r="B73" i="4"/>
  <c r="B65" i="4"/>
  <c r="B57" i="4"/>
  <c r="B49" i="4"/>
  <c r="B41" i="4"/>
  <c r="B33" i="4"/>
  <c r="B199" i="4"/>
  <c r="B191" i="4"/>
  <c r="B183" i="4"/>
  <c r="B175" i="4"/>
  <c r="B167" i="4"/>
  <c r="B159" i="4"/>
  <c r="B151" i="4"/>
  <c r="B143" i="4"/>
  <c r="B135" i="4"/>
  <c r="B125" i="4"/>
  <c r="B117" i="4"/>
  <c r="B109" i="4"/>
  <c r="B4" i="4"/>
  <c r="R20" i="3"/>
  <c r="R21" i="3"/>
  <c r="R22" i="3"/>
  <c r="B103" i="10"/>
  <c r="C103" i="4"/>
  <c r="R28" i="3"/>
  <c r="R29" i="3"/>
  <c r="R30" i="3"/>
  <c r="B252" i="10"/>
  <c r="C252" i="4"/>
  <c r="R24" i="3"/>
  <c r="R25" i="3"/>
  <c r="R26" i="3"/>
  <c r="B203" i="10"/>
  <c r="C203" i="4"/>
  <c r="B303" i="10"/>
  <c r="C303" i="4"/>
  <c r="G4" i="6"/>
  <c r="F3" i="10"/>
  <c r="G3" i="4"/>
  <c r="G103" i="4"/>
  <c r="G203" i="4"/>
  <c r="K3" i="6"/>
  <c r="G103" i="10"/>
  <c r="H103" i="4"/>
  <c r="G203" i="10"/>
  <c r="H203" i="4"/>
  <c r="G303" i="10"/>
  <c r="H303" i="4"/>
  <c r="L4" i="6"/>
  <c r="E103" i="10"/>
  <c r="F103" i="4"/>
  <c r="E252" i="10"/>
  <c r="F252" i="4"/>
  <c r="E203" i="10"/>
  <c r="F203" i="4"/>
  <c r="E303" i="10"/>
  <c r="F303" i="4"/>
  <c r="J4" i="6"/>
  <c r="D203" i="10"/>
  <c r="E203" i="4"/>
  <c r="D69" i="10"/>
  <c r="E69" i="4"/>
  <c r="D303" i="10"/>
  <c r="E303" i="4"/>
  <c r="D23" i="10"/>
  <c r="E23" i="4"/>
  <c r="I5" i="6"/>
  <c r="G3" i="10"/>
  <c r="H3" i="4"/>
  <c r="L3" i="6"/>
  <c r="C103" i="10"/>
  <c r="D103" i="4"/>
  <c r="C252" i="10"/>
  <c r="D252" i="4"/>
  <c r="C203" i="10"/>
  <c r="D203" i="4"/>
  <c r="C303" i="10"/>
  <c r="D303" i="4"/>
  <c r="H4" i="6"/>
  <c r="G69" i="4"/>
  <c r="G303" i="4"/>
  <c r="G23" i="4"/>
  <c r="K5" i="6"/>
  <c r="L5" i="6"/>
  <c r="D3" i="10"/>
  <c r="E3" i="4"/>
  <c r="D103" i="10"/>
  <c r="E103" i="4"/>
  <c r="I3" i="6"/>
  <c r="B69" i="10"/>
  <c r="C69" i="4"/>
  <c r="B23" i="10"/>
  <c r="C23" i="4"/>
  <c r="G5" i="6"/>
  <c r="B3" i="10"/>
  <c r="C3" i="4"/>
  <c r="G3" i="6"/>
  <c r="C3" i="10"/>
  <c r="D3" i="4"/>
  <c r="H3" i="6"/>
  <c r="E3" i="10"/>
  <c r="F3" i="4"/>
  <c r="J3" i="6"/>
  <c r="G252" i="4"/>
  <c r="K4" i="6"/>
  <c r="E136" i="10"/>
  <c r="F136" i="4"/>
  <c r="E43" i="10"/>
  <c r="F43" i="4"/>
  <c r="J6" i="6"/>
  <c r="G136" i="4"/>
  <c r="G43" i="4"/>
  <c r="K6" i="6"/>
  <c r="D252" i="10"/>
  <c r="E252" i="4"/>
  <c r="I4" i="6"/>
  <c r="E69" i="10"/>
  <c r="F69" i="4"/>
  <c r="E23" i="10"/>
  <c r="F23" i="4"/>
  <c r="J5" i="6"/>
  <c r="C69" i="10"/>
  <c r="D69" i="4"/>
  <c r="C23" i="10"/>
  <c r="D23" i="4"/>
  <c r="H5" i="6"/>
  <c r="D4" i="10"/>
  <c r="E4" i="4"/>
  <c r="C4" i="10"/>
  <c r="D4" i="4"/>
  <c r="B4" i="10"/>
  <c r="C4" i="4"/>
  <c r="B178" i="10"/>
  <c r="C178" i="4"/>
  <c r="C182" i="10"/>
  <c r="D182" i="4"/>
  <c r="B182" i="10"/>
  <c r="C182" i="4"/>
  <c r="D109" i="10"/>
  <c r="E109" i="4"/>
  <c r="C109" i="10"/>
  <c r="D109" i="4"/>
  <c r="B109" i="10"/>
  <c r="C109" i="4"/>
  <c r="D117" i="10"/>
  <c r="E117" i="4"/>
  <c r="C117" i="10"/>
  <c r="D117" i="4"/>
  <c r="B117" i="10"/>
  <c r="C117" i="4"/>
  <c r="D125" i="10"/>
  <c r="E125" i="4"/>
  <c r="C125" i="10"/>
  <c r="D125" i="4"/>
  <c r="B125" i="10"/>
  <c r="C125" i="4"/>
  <c r="C135" i="10"/>
  <c r="D135" i="4"/>
  <c r="B135" i="10"/>
  <c r="C135" i="4"/>
  <c r="D135" i="10"/>
  <c r="E135" i="4"/>
  <c r="C143" i="10"/>
  <c r="D143" i="4"/>
  <c r="B143" i="10"/>
  <c r="C143" i="4"/>
  <c r="D143" i="10"/>
  <c r="E143" i="4"/>
  <c r="C151" i="10"/>
  <c r="D151" i="4"/>
  <c r="B151" i="10"/>
  <c r="C151" i="4"/>
  <c r="D151" i="10"/>
  <c r="E151" i="4"/>
  <c r="C159" i="10"/>
  <c r="D159" i="4"/>
  <c r="B159" i="10"/>
  <c r="C159" i="4"/>
  <c r="D159" i="10"/>
  <c r="E159" i="4"/>
  <c r="C167" i="10"/>
  <c r="D167" i="4"/>
  <c r="B167" i="10"/>
  <c r="C167" i="4"/>
  <c r="D167" i="10"/>
  <c r="E167" i="4"/>
  <c r="C175" i="10"/>
  <c r="D175" i="4"/>
  <c r="B175" i="10"/>
  <c r="C175" i="4"/>
  <c r="D175" i="10"/>
  <c r="E175" i="4"/>
  <c r="C183" i="10"/>
  <c r="D183" i="4"/>
  <c r="B183" i="10"/>
  <c r="C183" i="4"/>
  <c r="D183" i="10"/>
  <c r="E183" i="4"/>
  <c r="C136" i="10"/>
  <c r="D136" i="4"/>
  <c r="C43" i="10"/>
  <c r="D43" i="4"/>
  <c r="H6" i="6"/>
  <c r="C191" i="10"/>
  <c r="D191" i="4"/>
  <c r="B136" i="10"/>
  <c r="C136" i="4"/>
  <c r="B43" i="10"/>
  <c r="C43" i="4"/>
  <c r="G6" i="6"/>
  <c r="B191" i="10"/>
  <c r="C191" i="4"/>
  <c r="D136" i="10"/>
  <c r="E136" i="4"/>
  <c r="D43" i="10"/>
  <c r="E43" i="4"/>
  <c r="I6" i="6"/>
  <c r="D191" i="10"/>
  <c r="E191" i="4"/>
  <c r="C199" i="10"/>
  <c r="D199" i="4"/>
  <c r="D199" i="10"/>
  <c r="E199" i="4"/>
  <c r="B199" i="10"/>
  <c r="C199" i="4"/>
  <c r="B33" i="10"/>
  <c r="C33" i="4"/>
  <c r="D33" i="10"/>
  <c r="E33" i="4"/>
  <c r="C33" i="10"/>
  <c r="D33" i="4"/>
  <c r="B41" i="10"/>
  <c r="C41" i="4"/>
  <c r="D41" i="10"/>
  <c r="E41" i="4"/>
  <c r="C41" i="10"/>
  <c r="D41" i="4"/>
  <c r="B49" i="10"/>
  <c r="C49" i="4"/>
  <c r="D49" i="10"/>
  <c r="E49" i="4"/>
  <c r="C49" i="10"/>
  <c r="D49" i="4"/>
  <c r="B57" i="10"/>
  <c r="C57" i="4"/>
  <c r="D57" i="10"/>
  <c r="E57" i="4"/>
  <c r="C57" i="10"/>
  <c r="D57" i="4"/>
  <c r="B65" i="10"/>
  <c r="C65" i="4"/>
  <c r="D65" i="10"/>
  <c r="E65" i="4"/>
  <c r="C65" i="10"/>
  <c r="D65" i="4"/>
  <c r="B73" i="10"/>
  <c r="C73" i="4"/>
  <c r="D73" i="10"/>
  <c r="E73" i="4"/>
  <c r="C73" i="10"/>
  <c r="D73" i="4"/>
  <c r="B81" i="10"/>
  <c r="C81" i="4"/>
  <c r="D81" i="10"/>
  <c r="E81" i="4"/>
  <c r="C81" i="10"/>
  <c r="D81" i="4"/>
  <c r="B89" i="10"/>
  <c r="C89" i="4"/>
  <c r="D89" i="10"/>
  <c r="E89" i="4"/>
  <c r="C89" i="10"/>
  <c r="D89" i="4"/>
  <c r="B97" i="10"/>
  <c r="C97" i="4"/>
  <c r="D97" i="10"/>
  <c r="E97" i="4"/>
  <c r="C97" i="10"/>
  <c r="D97" i="4"/>
  <c r="B10" i="10"/>
  <c r="C10" i="4"/>
  <c r="C10" i="10"/>
  <c r="D10" i="4"/>
  <c r="D10" i="10"/>
  <c r="E10" i="4"/>
  <c r="B18" i="10"/>
  <c r="C18" i="4"/>
  <c r="C18" i="10"/>
  <c r="D18" i="4"/>
  <c r="D18" i="10"/>
  <c r="E18" i="4"/>
  <c r="D106" i="10"/>
  <c r="E106" i="4"/>
  <c r="B106" i="10"/>
  <c r="C106" i="4"/>
  <c r="C106" i="10"/>
  <c r="D106" i="4"/>
  <c r="B114" i="10"/>
  <c r="C114" i="4"/>
  <c r="C114" i="10"/>
  <c r="D114" i="4"/>
  <c r="D114" i="10"/>
  <c r="E114" i="4"/>
  <c r="B122" i="10"/>
  <c r="C122" i="4"/>
  <c r="C122" i="10"/>
  <c r="D122" i="4"/>
  <c r="D122" i="10"/>
  <c r="E122" i="4"/>
  <c r="D132" i="10"/>
  <c r="E132" i="4"/>
  <c r="B132" i="10"/>
  <c r="C132" i="4"/>
  <c r="C132" i="10"/>
  <c r="D132" i="4"/>
  <c r="D140" i="10"/>
  <c r="E140" i="4"/>
  <c r="B140" i="10"/>
  <c r="C140" i="4"/>
  <c r="C140" i="10"/>
  <c r="D140" i="4"/>
  <c r="D148" i="10"/>
  <c r="E148" i="4"/>
  <c r="B148" i="10"/>
  <c r="C148" i="4"/>
  <c r="C148" i="10"/>
  <c r="D148" i="4"/>
  <c r="D156" i="10"/>
  <c r="E156" i="4"/>
  <c r="B156" i="10"/>
  <c r="C156" i="4"/>
  <c r="C156" i="10"/>
  <c r="D156" i="4"/>
  <c r="D164" i="10"/>
  <c r="E164" i="4"/>
  <c r="B164" i="10"/>
  <c r="C164" i="4"/>
  <c r="C164" i="10"/>
  <c r="D164" i="4"/>
  <c r="D172" i="10"/>
  <c r="E172" i="4"/>
  <c r="B172" i="10"/>
  <c r="C172" i="4"/>
  <c r="C172" i="10"/>
  <c r="D172" i="4"/>
  <c r="B180" i="10"/>
  <c r="C180" i="4"/>
  <c r="D180" i="10"/>
  <c r="E180" i="4"/>
  <c r="C180" i="10"/>
  <c r="D180" i="4"/>
  <c r="D186" i="10"/>
  <c r="E186" i="4"/>
  <c r="C190" i="10"/>
  <c r="D190" i="4"/>
  <c r="B190" i="10"/>
  <c r="C190" i="4"/>
  <c r="D194" i="10"/>
  <c r="E194" i="4"/>
  <c r="C198" i="10"/>
  <c r="D198" i="4"/>
  <c r="B198" i="10"/>
  <c r="C198" i="4"/>
  <c r="D202" i="10"/>
  <c r="E202" i="4"/>
  <c r="B30" i="10"/>
  <c r="C30" i="4"/>
  <c r="C30" i="10"/>
  <c r="D30" i="4"/>
  <c r="D30" i="10"/>
  <c r="E30" i="4"/>
  <c r="B38" i="10"/>
  <c r="C38" i="4"/>
  <c r="C38" i="10"/>
  <c r="D38" i="4"/>
  <c r="D38" i="10"/>
  <c r="E38" i="4"/>
  <c r="B46" i="10"/>
  <c r="C46" i="4"/>
  <c r="C46" i="10"/>
  <c r="D46" i="4"/>
  <c r="D46" i="10"/>
  <c r="E46" i="4"/>
  <c r="B54" i="10"/>
  <c r="C54" i="4"/>
  <c r="C54" i="10"/>
  <c r="D54" i="4"/>
  <c r="D54" i="10"/>
  <c r="E54" i="4"/>
  <c r="B62" i="10"/>
  <c r="C62" i="4"/>
  <c r="C62" i="10"/>
  <c r="D62" i="4"/>
  <c r="D62" i="10"/>
  <c r="E62" i="4"/>
  <c r="B70" i="10"/>
  <c r="C70" i="4"/>
  <c r="C70" i="10"/>
  <c r="D70" i="4"/>
  <c r="D70" i="10"/>
  <c r="E70" i="4"/>
  <c r="B78" i="10"/>
  <c r="C78" i="4"/>
  <c r="C78" i="10"/>
  <c r="D78" i="4"/>
  <c r="D78" i="10"/>
  <c r="E78" i="4"/>
  <c r="B86" i="10"/>
  <c r="C86" i="4"/>
  <c r="C86" i="10"/>
  <c r="D86" i="4"/>
  <c r="D86" i="10"/>
  <c r="E86" i="4"/>
  <c r="B94" i="10"/>
  <c r="C94" i="4"/>
  <c r="C94" i="10"/>
  <c r="D94" i="4"/>
  <c r="D94" i="10"/>
  <c r="E94" i="4"/>
  <c r="B102" i="10"/>
  <c r="C102" i="4"/>
  <c r="C102" i="10"/>
  <c r="D102" i="4"/>
  <c r="D102" i="10"/>
  <c r="E102" i="4"/>
  <c r="B15" i="10"/>
  <c r="C15" i="4"/>
  <c r="D15" i="10"/>
  <c r="E15" i="4"/>
  <c r="C15" i="10"/>
  <c r="D15" i="4"/>
  <c r="B7" i="10"/>
  <c r="C7" i="4"/>
  <c r="D7" i="10"/>
  <c r="E7" i="4"/>
  <c r="C7" i="10"/>
  <c r="D7" i="4"/>
  <c r="B128" i="10"/>
  <c r="C128" i="4"/>
  <c r="C128" i="10"/>
  <c r="D128" i="4"/>
  <c r="D128" i="10"/>
  <c r="E128" i="4"/>
  <c r="C188" i="10"/>
  <c r="D188" i="4"/>
  <c r="D188" i="10"/>
  <c r="E188" i="4"/>
  <c r="B188" i="10"/>
  <c r="C188" i="4"/>
  <c r="C196" i="10"/>
  <c r="D196" i="4"/>
  <c r="D196" i="10"/>
  <c r="E196" i="4"/>
  <c r="B196" i="10"/>
  <c r="C196" i="4"/>
  <c r="B107" i="10"/>
  <c r="C107" i="4"/>
  <c r="D107" i="10"/>
  <c r="E107" i="4"/>
  <c r="C107" i="10"/>
  <c r="D107" i="4"/>
  <c r="B115" i="10"/>
  <c r="C115" i="4"/>
  <c r="D115" i="10"/>
  <c r="E115" i="4"/>
  <c r="C115" i="10"/>
  <c r="D115" i="4"/>
  <c r="B123" i="10"/>
  <c r="C123" i="4"/>
  <c r="D123" i="10"/>
  <c r="E123" i="4"/>
  <c r="C123" i="10"/>
  <c r="D123" i="4"/>
  <c r="D141" i="10"/>
  <c r="E141" i="4"/>
  <c r="B141" i="10"/>
  <c r="C141" i="4"/>
  <c r="C141" i="10"/>
  <c r="D141" i="4"/>
  <c r="D149" i="10"/>
  <c r="E149" i="4"/>
  <c r="B149" i="10"/>
  <c r="C149" i="4"/>
  <c r="C149" i="10"/>
  <c r="D149" i="4"/>
  <c r="D157" i="10"/>
  <c r="E157" i="4"/>
  <c r="B157" i="10"/>
  <c r="C157" i="4"/>
  <c r="C157" i="10"/>
  <c r="D157" i="4"/>
  <c r="D173" i="10"/>
  <c r="E173" i="4"/>
  <c r="B173" i="10"/>
  <c r="C173" i="4"/>
  <c r="C173" i="10"/>
  <c r="D173" i="4"/>
  <c r="D189" i="10"/>
  <c r="E189" i="4"/>
  <c r="B189" i="10"/>
  <c r="C189" i="4"/>
  <c r="C189" i="10"/>
  <c r="D189" i="4"/>
  <c r="B39" i="10"/>
  <c r="C39" i="4"/>
  <c r="D39" i="10"/>
  <c r="E39" i="4"/>
  <c r="C39" i="10"/>
  <c r="D39" i="4"/>
  <c r="B47" i="10"/>
  <c r="C47" i="4"/>
  <c r="D47" i="10"/>
  <c r="E47" i="4"/>
  <c r="C47" i="10"/>
  <c r="D47" i="4"/>
  <c r="B63" i="10"/>
  <c r="C63" i="4"/>
  <c r="D63" i="10"/>
  <c r="E63" i="4"/>
  <c r="C63" i="10"/>
  <c r="D63" i="4"/>
  <c r="B71" i="10"/>
  <c r="C71" i="4"/>
  <c r="D71" i="10"/>
  <c r="E71" i="4"/>
  <c r="C71" i="10"/>
  <c r="D71" i="4"/>
  <c r="B87" i="10"/>
  <c r="C87" i="4"/>
  <c r="D87" i="10"/>
  <c r="E87" i="4"/>
  <c r="C87" i="10"/>
  <c r="D87" i="4"/>
  <c r="B16" i="10"/>
  <c r="C16" i="4"/>
  <c r="C16" i="10"/>
  <c r="D16" i="4"/>
  <c r="D16" i="10"/>
  <c r="E16" i="4"/>
  <c r="B120" i="10"/>
  <c r="C120" i="4"/>
  <c r="D120" i="10"/>
  <c r="E120" i="4"/>
  <c r="C120" i="10"/>
  <c r="D120" i="4"/>
  <c r="B130" i="10"/>
  <c r="C130" i="4"/>
  <c r="D130" i="10"/>
  <c r="E130" i="4"/>
  <c r="C130" i="10"/>
  <c r="D130" i="4"/>
  <c r="B146" i="10"/>
  <c r="C146" i="4"/>
  <c r="D146" i="10"/>
  <c r="E146" i="4"/>
  <c r="C146" i="10"/>
  <c r="D146" i="4"/>
  <c r="B154" i="10"/>
  <c r="C154" i="4"/>
  <c r="D154" i="10"/>
  <c r="E154" i="4"/>
  <c r="C154" i="10"/>
  <c r="D154" i="4"/>
  <c r="B170" i="10"/>
  <c r="C170" i="4"/>
  <c r="D170" i="10"/>
  <c r="E170" i="4"/>
  <c r="C170" i="10"/>
  <c r="D170" i="4"/>
  <c r="C44" i="10"/>
  <c r="D44" i="4"/>
  <c r="D44" i="10"/>
  <c r="E44" i="4"/>
  <c r="B44" i="10"/>
  <c r="C44" i="4"/>
  <c r="C52" i="10"/>
  <c r="D52" i="4"/>
  <c r="D52" i="10"/>
  <c r="E52" i="4"/>
  <c r="B52" i="10"/>
  <c r="C52" i="4"/>
  <c r="C68" i="10"/>
  <c r="D68" i="4"/>
  <c r="D68" i="10"/>
  <c r="E68" i="4"/>
  <c r="B68" i="10"/>
  <c r="C68" i="4"/>
  <c r="C76" i="10"/>
  <c r="D76" i="4"/>
  <c r="D76" i="10"/>
  <c r="E76" i="4"/>
  <c r="B76" i="10"/>
  <c r="C76" i="4"/>
  <c r="C100" i="10"/>
  <c r="D100" i="4"/>
  <c r="D100" i="10"/>
  <c r="E100" i="4"/>
  <c r="B100" i="10"/>
  <c r="C100" i="4"/>
  <c r="C5" i="10"/>
  <c r="D5" i="4"/>
  <c r="B5" i="10"/>
  <c r="C5" i="4"/>
  <c r="D5" i="10"/>
  <c r="E5" i="4"/>
  <c r="B6" i="10"/>
  <c r="C6" i="4"/>
  <c r="C6" i="10"/>
  <c r="D6" i="4"/>
  <c r="D6" i="10"/>
  <c r="E6" i="4"/>
  <c r="B104" i="10"/>
  <c r="C104" i="4"/>
  <c r="D104" i="10"/>
  <c r="E104" i="4"/>
  <c r="C104" i="10"/>
  <c r="D104" i="4"/>
  <c r="D182" i="10"/>
  <c r="E182" i="4"/>
  <c r="B105" i="10"/>
  <c r="C105" i="4"/>
  <c r="D105" i="10"/>
  <c r="E105" i="4"/>
  <c r="C105" i="10"/>
  <c r="D105" i="4"/>
  <c r="B113" i="10"/>
  <c r="C113" i="4"/>
  <c r="D113" i="10"/>
  <c r="E113" i="4"/>
  <c r="C113" i="10"/>
  <c r="D113" i="4"/>
  <c r="B121" i="10"/>
  <c r="C121" i="4"/>
  <c r="D121" i="10"/>
  <c r="E121" i="4"/>
  <c r="C121" i="10"/>
  <c r="D121" i="4"/>
  <c r="B131" i="10"/>
  <c r="C131" i="4"/>
  <c r="D131" i="10"/>
  <c r="E131" i="4"/>
  <c r="C131" i="10"/>
  <c r="D131" i="4"/>
  <c r="B139" i="10"/>
  <c r="C139" i="4"/>
  <c r="D139" i="10"/>
  <c r="E139" i="4"/>
  <c r="C139" i="10"/>
  <c r="D139" i="4"/>
  <c r="B147" i="10"/>
  <c r="C147" i="4"/>
  <c r="D147" i="10"/>
  <c r="E147" i="4"/>
  <c r="C147" i="10"/>
  <c r="D147" i="4"/>
  <c r="B155" i="10"/>
  <c r="C155" i="4"/>
  <c r="D155" i="10"/>
  <c r="E155" i="4"/>
  <c r="C155" i="10"/>
  <c r="D155" i="4"/>
  <c r="B163" i="10"/>
  <c r="C163" i="4"/>
  <c r="D163" i="10"/>
  <c r="E163" i="4"/>
  <c r="C163" i="10"/>
  <c r="D163" i="4"/>
  <c r="B171" i="10"/>
  <c r="C171" i="4"/>
  <c r="D171" i="10"/>
  <c r="E171" i="4"/>
  <c r="C171" i="10"/>
  <c r="D171" i="4"/>
  <c r="B179" i="10"/>
  <c r="C179" i="4"/>
  <c r="D179" i="10"/>
  <c r="E179" i="4"/>
  <c r="C179" i="10"/>
  <c r="D179" i="4"/>
  <c r="B187" i="10"/>
  <c r="C187" i="4"/>
  <c r="D187" i="10"/>
  <c r="E187" i="4"/>
  <c r="C187" i="10"/>
  <c r="D187" i="4"/>
  <c r="B195" i="10"/>
  <c r="C195" i="4"/>
  <c r="C195" i="10"/>
  <c r="D195" i="4"/>
  <c r="D195" i="10"/>
  <c r="E195" i="4"/>
  <c r="C29" i="10"/>
  <c r="D29" i="4"/>
  <c r="B29" i="10"/>
  <c r="C29" i="4"/>
  <c r="D29" i="10"/>
  <c r="E29" i="4"/>
  <c r="C37" i="10"/>
  <c r="D37" i="4"/>
  <c r="B37" i="10"/>
  <c r="C37" i="4"/>
  <c r="D37" i="10"/>
  <c r="E37" i="4"/>
  <c r="C45" i="10"/>
  <c r="D45" i="4"/>
  <c r="B45" i="10"/>
  <c r="C45" i="4"/>
  <c r="D45" i="10"/>
  <c r="E45" i="4"/>
  <c r="C53" i="10"/>
  <c r="D53" i="4"/>
  <c r="B53" i="10"/>
  <c r="C53" i="4"/>
  <c r="D53" i="10"/>
  <c r="E53" i="4"/>
  <c r="C61" i="10"/>
  <c r="D61" i="4"/>
  <c r="B61" i="10"/>
  <c r="C61" i="4"/>
  <c r="D61" i="10"/>
  <c r="E61" i="4"/>
  <c r="C77" i="10"/>
  <c r="D77" i="4"/>
  <c r="B77" i="10"/>
  <c r="C77" i="4"/>
  <c r="D77" i="10"/>
  <c r="E77" i="4"/>
  <c r="C85" i="10"/>
  <c r="D85" i="4"/>
  <c r="B85" i="10"/>
  <c r="C85" i="4"/>
  <c r="D85" i="10"/>
  <c r="E85" i="4"/>
  <c r="C93" i="10"/>
  <c r="D93" i="4"/>
  <c r="B93" i="10"/>
  <c r="C93" i="4"/>
  <c r="D93" i="10"/>
  <c r="E93" i="4"/>
  <c r="C101" i="10"/>
  <c r="D101" i="4"/>
  <c r="B101" i="10"/>
  <c r="C101" i="4"/>
  <c r="D101" i="10"/>
  <c r="E101" i="4"/>
  <c r="B14" i="10"/>
  <c r="C14" i="4"/>
  <c r="C14" i="10"/>
  <c r="D14" i="4"/>
  <c r="D14" i="10"/>
  <c r="E14" i="4"/>
  <c r="B22" i="10"/>
  <c r="C22" i="4"/>
  <c r="C22" i="10"/>
  <c r="D22" i="4"/>
  <c r="D22" i="10"/>
  <c r="E22" i="4"/>
  <c r="D110" i="10"/>
  <c r="E110" i="4"/>
  <c r="B110" i="10"/>
  <c r="C110" i="4"/>
  <c r="C110" i="10"/>
  <c r="D110" i="4"/>
  <c r="D118" i="10"/>
  <c r="E118" i="4"/>
  <c r="B118" i="10"/>
  <c r="C118" i="4"/>
  <c r="C118" i="10"/>
  <c r="D118" i="4"/>
  <c r="D126" i="10"/>
  <c r="E126" i="4"/>
  <c r="B126" i="10"/>
  <c r="C126" i="4"/>
  <c r="C126" i="10"/>
  <c r="D126" i="4"/>
  <c r="B144" i="10"/>
  <c r="C144" i="4"/>
  <c r="C144" i="10"/>
  <c r="D144" i="4"/>
  <c r="D144" i="10"/>
  <c r="E144" i="4"/>
  <c r="B152" i="10"/>
  <c r="C152" i="4"/>
  <c r="C152" i="10"/>
  <c r="D152" i="4"/>
  <c r="D152" i="10"/>
  <c r="E152" i="4"/>
  <c r="B160" i="10"/>
  <c r="C160" i="4"/>
  <c r="C160" i="10"/>
  <c r="D160" i="4"/>
  <c r="D160" i="10"/>
  <c r="E160" i="4"/>
  <c r="B168" i="10"/>
  <c r="C168" i="4"/>
  <c r="C168" i="10"/>
  <c r="D168" i="4"/>
  <c r="D168" i="10"/>
  <c r="E168" i="4"/>
  <c r="B176" i="10"/>
  <c r="C176" i="4"/>
  <c r="D176" i="10"/>
  <c r="E176" i="4"/>
  <c r="C176" i="10"/>
  <c r="D176" i="4"/>
  <c r="C186" i="10"/>
  <c r="D186" i="4"/>
  <c r="B186" i="10"/>
  <c r="C186" i="4"/>
  <c r="D190" i="10"/>
  <c r="E190" i="4"/>
  <c r="C194" i="10"/>
  <c r="D194" i="4"/>
  <c r="B194" i="10"/>
  <c r="C194" i="4"/>
  <c r="D198" i="10"/>
  <c r="E198" i="4"/>
  <c r="C202" i="10"/>
  <c r="D202" i="4"/>
  <c r="B202" i="10"/>
  <c r="C202" i="4"/>
  <c r="B34" i="10"/>
  <c r="C34" i="4"/>
  <c r="C34" i="10"/>
  <c r="D34" i="4"/>
  <c r="D34" i="10"/>
  <c r="E34" i="4"/>
  <c r="B42" i="10"/>
  <c r="C42" i="4"/>
  <c r="C42" i="10"/>
  <c r="D42" i="4"/>
  <c r="D42" i="10"/>
  <c r="E42" i="4"/>
  <c r="B50" i="10"/>
  <c r="C50" i="4"/>
  <c r="C50" i="10"/>
  <c r="D50" i="4"/>
  <c r="D50" i="10"/>
  <c r="E50" i="4"/>
  <c r="B58" i="10"/>
  <c r="C58" i="4"/>
  <c r="C58" i="10"/>
  <c r="D58" i="4"/>
  <c r="D58" i="10"/>
  <c r="E58" i="4"/>
  <c r="B66" i="10"/>
  <c r="C66" i="4"/>
  <c r="C66" i="10"/>
  <c r="D66" i="4"/>
  <c r="D66" i="10"/>
  <c r="E66" i="4"/>
  <c r="B74" i="10"/>
  <c r="C74" i="4"/>
  <c r="C74" i="10"/>
  <c r="D74" i="4"/>
  <c r="D74" i="10"/>
  <c r="E74" i="4"/>
  <c r="B82" i="10"/>
  <c r="C82" i="4"/>
  <c r="C82" i="10"/>
  <c r="D82" i="4"/>
  <c r="D82" i="10"/>
  <c r="E82" i="4"/>
  <c r="B90" i="10"/>
  <c r="C90" i="4"/>
  <c r="C90" i="10"/>
  <c r="D90" i="4"/>
  <c r="D90" i="10"/>
  <c r="E90" i="4"/>
  <c r="B98" i="10"/>
  <c r="C98" i="4"/>
  <c r="C98" i="10"/>
  <c r="D98" i="4"/>
  <c r="D98" i="10"/>
  <c r="E98" i="4"/>
  <c r="B11" i="10"/>
  <c r="C11" i="4"/>
  <c r="D11" i="10"/>
  <c r="E11" i="4"/>
  <c r="C11" i="10"/>
  <c r="D11" i="4"/>
  <c r="B19" i="10"/>
  <c r="C19" i="4"/>
  <c r="D19" i="10"/>
  <c r="E19" i="4"/>
  <c r="C19" i="10"/>
  <c r="D19" i="4"/>
  <c r="B27" i="10"/>
  <c r="C27" i="4"/>
  <c r="D27" i="10"/>
  <c r="E27" i="4"/>
  <c r="C27" i="10"/>
  <c r="D27" i="4"/>
  <c r="B26" i="10"/>
  <c r="C26" i="4"/>
  <c r="C26" i="10"/>
  <c r="D26" i="4"/>
  <c r="D26" i="10"/>
  <c r="E26" i="4"/>
  <c r="C184" i="10"/>
  <c r="D184" i="4"/>
  <c r="D184" i="10"/>
  <c r="E184" i="4"/>
  <c r="B184" i="10"/>
  <c r="C184" i="4"/>
  <c r="C192" i="10"/>
  <c r="D192" i="4"/>
  <c r="D192" i="10"/>
  <c r="E192" i="4"/>
  <c r="B192" i="10"/>
  <c r="C192" i="4"/>
  <c r="C200" i="10"/>
  <c r="D200" i="4"/>
  <c r="D200" i="10"/>
  <c r="E200" i="4"/>
  <c r="B200" i="10"/>
  <c r="C200" i="4"/>
  <c r="B111" i="10"/>
  <c r="C111" i="4"/>
  <c r="D111" i="10"/>
  <c r="E111" i="4"/>
  <c r="C111" i="10"/>
  <c r="D111" i="4"/>
  <c r="B119" i="10"/>
  <c r="C119" i="4"/>
  <c r="D119" i="10"/>
  <c r="E119" i="4"/>
  <c r="C119" i="10"/>
  <c r="D119" i="4"/>
  <c r="D129" i="10"/>
  <c r="E129" i="4"/>
  <c r="B129" i="10"/>
  <c r="C129" i="4"/>
  <c r="C129" i="10"/>
  <c r="D129" i="4"/>
  <c r="D137" i="10"/>
  <c r="E137" i="4"/>
  <c r="B137" i="10"/>
  <c r="C137" i="4"/>
  <c r="C137" i="10"/>
  <c r="D137" i="4"/>
  <c r="D145" i="10"/>
  <c r="E145" i="4"/>
  <c r="B145" i="10"/>
  <c r="C145" i="4"/>
  <c r="C145" i="10"/>
  <c r="D145" i="4"/>
  <c r="B153" i="10"/>
  <c r="C153" i="4"/>
  <c r="D153" i="10"/>
  <c r="E153" i="4"/>
  <c r="C153" i="10"/>
  <c r="D153" i="4"/>
  <c r="D161" i="10"/>
  <c r="E161" i="4"/>
  <c r="B161" i="10"/>
  <c r="C161" i="4"/>
  <c r="C161" i="10"/>
  <c r="D161" i="4"/>
  <c r="D169" i="10"/>
  <c r="E169" i="4"/>
  <c r="B169" i="10"/>
  <c r="C169" i="4"/>
  <c r="C169" i="10"/>
  <c r="D169" i="4"/>
  <c r="D177" i="10"/>
  <c r="E177" i="4"/>
  <c r="B177" i="10"/>
  <c r="C177" i="4"/>
  <c r="C177" i="10"/>
  <c r="D177" i="4"/>
  <c r="D185" i="10"/>
  <c r="E185" i="4"/>
  <c r="B185" i="10"/>
  <c r="C185" i="4"/>
  <c r="C185" i="10"/>
  <c r="D185" i="4"/>
  <c r="D193" i="10"/>
  <c r="E193" i="4"/>
  <c r="B193" i="10"/>
  <c r="C193" i="4"/>
  <c r="C193" i="10"/>
  <c r="D193" i="4"/>
  <c r="D201" i="10"/>
  <c r="E201" i="4"/>
  <c r="B201" i="10"/>
  <c r="C201" i="4"/>
  <c r="C201" i="10"/>
  <c r="D201" i="4"/>
  <c r="B35" i="10"/>
  <c r="C35" i="4"/>
  <c r="D35" i="10"/>
  <c r="E35" i="4"/>
  <c r="C35" i="10"/>
  <c r="D35" i="4"/>
  <c r="B51" i="10"/>
  <c r="C51" i="4"/>
  <c r="D51" i="10"/>
  <c r="E51" i="4"/>
  <c r="C51" i="10"/>
  <c r="D51" i="4"/>
  <c r="B59" i="10"/>
  <c r="C59" i="4"/>
  <c r="D59" i="10"/>
  <c r="E59" i="4"/>
  <c r="C59" i="10"/>
  <c r="D59" i="4"/>
  <c r="B67" i="10"/>
  <c r="C67" i="4"/>
  <c r="D67" i="10"/>
  <c r="E67" i="4"/>
  <c r="C67" i="10"/>
  <c r="D67" i="4"/>
  <c r="B75" i="10"/>
  <c r="C75" i="4"/>
  <c r="D75" i="10"/>
  <c r="E75" i="4"/>
  <c r="C75" i="10"/>
  <c r="D75" i="4"/>
  <c r="B83" i="10"/>
  <c r="C83" i="4"/>
  <c r="D83" i="10"/>
  <c r="E83" i="4"/>
  <c r="C83" i="10"/>
  <c r="D83" i="4"/>
  <c r="B91" i="10"/>
  <c r="C91" i="4"/>
  <c r="D91" i="10"/>
  <c r="E91" i="4"/>
  <c r="C91" i="10"/>
  <c r="D91" i="4"/>
  <c r="B99" i="10"/>
  <c r="C99" i="4"/>
  <c r="D99" i="10"/>
  <c r="E99" i="4"/>
  <c r="C99" i="10"/>
  <c r="D99" i="4"/>
  <c r="C12" i="10"/>
  <c r="D12" i="4"/>
  <c r="D12" i="10"/>
  <c r="E12" i="4"/>
  <c r="B12" i="10"/>
  <c r="C12" i="4"/>
  <c r="C20" i="10"/>
  <c r="D20" i="4"/>
  <c r="D20" i="10"/>
  <c r="E20" i="4"/>
  <c r="B20" i="10"/>
  <c r="C20" i="4"/>
  <c r="B108" i="10"/>
  <c r="C108" i="4"/>
  <c r="D108" i="10"/>
  <c r="E108" i="4"/>
  <c r="C108" i="10"/>
  <c r="D108" i="4"/>
  <c r="B116" i="10"/>
  <c r="C116" i="4"/>
  <c r="D116" i="10"/>
  <c r="E116" i="4"/>
  <c r="C116" i="10"/>
  <c r="D116" i="4"/>
  <c r="B124" i="10"/>
  <c r="C124" i="4"/>
  <c r="D124" i="10"/>
  <c r="E124" i="4"/>
  <c r="C124" i="10"/>
  <c r="D124" i="4"/>
  <c r="B134" i="10"/>
  <c r="C134" i="4"/>
  <c r="D134" i="10"/>
  <c r="E134" i="4"/>
  <c r="C134" i="10"/>
  <c r="D134" i="4"/>
  <c r="B142" i="10"/>
  <c r="C142" i="4"/>
  <c r="D142" i="10"/>
  <c r="E142" i="4"/>
  <c r="C142" i="10"/>
  <c r="D142" i="4"/>
  <c r="B150" i="10"/>
  <c r="C150" i="4"/>
  <c r="D150" i="10"/>
  <c r="E150" i="4"/>
  <c r="C150" i="10"/>
  <c r="D150" i="4"/>
  <c r="B158" i="10"/>
  <c r="C158" i="4"/>
  <c r="D158" i="10"/>
  <c r="E158" i="4"/>
  <c r="C158" i="10"/>
  <c r="D158" i="4"/>
  <c r="B166" i="10"/>
  <c r="C166" i="4"/>
  <c r="D166" i="10"/>
  <c r="E166" i="4"/>
  <c r="C166" i="10"/>
  <c r="D166" i="4"/>
  <c r="B174" i="10"/>
  <c r="C174" i="4"/>
  <c r="C174" i="10"/>
  <c r="D174" i="4"/>
  <c r="D174" i="10"/>
  <c r="E174" i="4"/>
  <c r="B32" i="10"/>
  <c r="C32" i="4"/>
  <c r="C32" i="10"/>
  <c r="D32" i="4"/>
  <c r="D32" i="10"/>
  <c r="E32" i="4"/>
  <c r="B40" i="10"/>
  <c r="C40" i="4"/>
  <c r="C40" i="10"/>
  <c r="D40" i="4"/>
  <c r="D40" i="10"/>
  <c r="E40" i="4"/>
  <c r="B48" i="10"/>
  <c r="C48" i="4"/>
  <c r="C48" i="10"/>
  <c r="D48" i="4"/>
  <c r="D48" i="10"/>
  <c r="E48" i="4"/>
  <c r="B56" i="10"/>
  <c r="C56" i="4"/>
  <c r="C56" i="10"/>
  <c r="D56" i="4"/>
  <c r="D56" i="10"/>
  <c r="E56" i="4"/>
  <c r="B64" i="10"/>
  <c r="C64" i="4"/>
  <c r="C64" i="10"/>
  <c r="D64" i="4"/>
  <c r="D64" i="10"/>
  <c r="E64" i="4"/>
  <c r="B72" i="10"/>
  <c r="C72" i="4"/>
  <c r="C72" i="10"/>
  <c r="D72" i="4"/>
  <c r="D72" i="10"/>
  <c r="E72" i="4"/>
  <c r="B80" i="10"/>
  <c r="C80" i="4"/>
  <c r="C80" i="10"/>
  <c r="D80" i="4"/>
  <c r="D80" i="10"/>
  <c r="E80" i="4"/>
  <c r="B88" i="10"/>
  <c r="C88" i="4"/>
  <c r="C88" i="10"/>
  <c r="D88" i="4"/>
  <c r="D88" i="10"/>
  <c r="E88" i="4"/>
  <c r="B96" i="10"/>
  <c r="C96" i="4"/>
  <c r="C96" i="10"/>
  <c r="D96" i="4"/>
  <c r="D96" i="10"/>
  <c r="E96" i="4"/>
  <c r="B9" i="10"/>
  <c r="C9" i="4"/>
  <c r="D9" i="10"/>
  <c r="E9" i="4"/>
  <c r="C9" i="10"/>
  <c r="D9" i="4"/>
  <c r="B17" i="10"/>
  <c r="C17" i="4"/>
  <c r="D17" i="10"/>
  <c r="E17" i="4"/>
  <c r="C17" i="10"/>
  <c r="D17" i="4"/>
  <c r="B25" i="10"/>
  <c r="C25" i="4"/>
  <c r="D25" i="10"/>
  <c r="E25" i="4"/>
  <c r="C25" i="10"/>
  <c r="D25" i="4"/>
  <c r="C28" i="10"/>
  <c r="D28" i="4"/>
  <c r="D28" i="10"/>
  <c r="E28" i="4"/>
  <c r="B28" i="10"/>
  <c r="C28" i="4"/>
  <c r="C127" i="10"/>
  <c r="D127" i="4"/>
  <c r="B127" i="10"/>
  <c r="C127" i="4"/>
  <c r="D127" i="10"/>
  <c r="E127" i="4"/>
  <c r="D133" i="10"/>
  <c r="E133" i="4"/>
  <c r="B133" i="10"/>
  <c r="C133" i="4"/>
  <c r="C133" i="10"/>
  <c r="D133" i="4"/>
  <c r="D165" i="10"/>
  <c r="E165" i="4"/>
  <c r="B165" i="10"/>
  <c r="C165" i="4"/>
  <c r="C165" i="10"/>
  <c r="D165" i="4"/>
  <c r="D181" i="10"/>
  <c r="E181" i="4"/>
  <c r="B181" i="10"/>
  <c r="C181" i="4"/>
  <c r="C181" i="10"/>
  <c r="D181" i="4"/>
  <c r="D197" i="10"/>
  <c r="E197" i="4"/>
  <c r="B197" i="10"/>
  <c r="C197" i="4"/>
  <c r="C197" i="10"/>
  <c r="D197" i="4"/>
  <c r="B31" i="10"/>
  <c r="C31" i="4"/>
  <c r="D31" i="10"/>
  <c r="E31" i="4"/>
  <c r="C31" i="10"/>
  <c r="D31" i="4"/>
  <c r="B55" i="10"/>
  <c r="C55" i="4"/>
  <c r="D55" i="10"/>
  <c r="E55" i="4"/>
  <c r="C55" i="10"/>
  <c r="D55" i="4"/>
  <c r="B79" i="10"/>
  <c r="C79" i="4"/>
  <c r="D79" i="10"/>
  <c r="E79" i="4"/>
  <c r="C79" i="10"/>
  <c r="D79" i="4"/>
  <c r="B95" i="10"/>
  <c r="C95" i="4"/>
  <c r="D95" i="10"/>
  <c r="E95" i="4"/>
  <c r="C95" i="10"/>
  <c r="D95" i="4"/>
  <c r="B8" i="10"/>
  <c r="C8" i="4"/>
  <c r="C8" i="10"/>
  <c r="D8" i="4"/>
  <c r="D8" i="10"/>
  <c r="E8" i="4"/>
  <c r="B24" i="10"/>
  <c r="C24" i="4"/>
  <c r="C24" i="10"/>
  <c r="D24" i="4"/>
  <c r="D24" i="10"/>
  <c r="E24" i="4"/>
  <c r="B112" i="10"/>
  <c r="C112" i="4"/>
  <c r="D112" i="10"/>
  <c r="E112" i="4"/>
  <c r="C112" i="10"/>
  <c r="D112" i="4"/>
  <c r="B138" i="10"/>
  <c r="C138" i="4"/>
  <c r="D138" i="10"/>
  <c r="E138" i="4"/>
  <c r="C138" i="10"/>
  <c r="D138" i="4"/>
  <c r="B162" i="10"/>
  <c r="C162" i="4"/>
  <c r="D162" i="10"/>
  <c r="E162" i="4"/>
  <c r="C162" i="10"/>
  <c r="D162" i="4"/>
  <c r="D178" i="10"/>
  <c r="E178" i="4"/>
  <c r="C178" i="10"/>
  <c r="D178" i="4"/>
  <c r="C36" i="10"/>
  <c r="D36" i="4"/>
  <c r="D36" i="10"/>
  <c r="E36" i="4"/>
  <c r="B36" i="10"/>
  <c r="C36" i="4"/>
  <c r="B60" i="10"/>
  <c r="C60" i="4"/>
  <c r="C60" i="10"/>
  <c r="D60" i="4"/>
  <c r="D60" i="10"/>
  <c r="E60" i="4"/>
  <c r="C84" i="10"/>
  <c r="D84" i="4"/>
  <c r="D84" i="10"/>
  <c r="E84" i="4"/>
  <c r="B84" i="10"/>
  <c r="C84" i="4"/>
  <c r="C92" i="10"/>
  <c r="D92" i="4"/>
  <c r="D92" i="10"/>
  <c r="E92" i="4"/>
  <c r="B92" i="10"/>
  <c r="C92" i="4"/>
  <c r="C13" i="10"/>
  <c r="D13" i="4"/>
  <c r="B13" i="10"/>
  <c r="C13" i="4"/>
  <c r="D13" i="10"/>
  <c r="E13" i="4"/>
  <c r="C21" i="10"/>
  <c r="D21" i="4"/>
  <c r="B21" i="10"/>
  <c r="C21" i="4"/>
  <c r="D21" i="10"/>
  <c r="E21" i="4"/>
  <c r="L6" i="6"/>
  <c r="G205" i="4"/>
  <c r="G207" i="4"/>
  <c r="G209" i="4"/>
  <c r="G211" i="4"/>
  <c r="G213" i="4"/>
  <c r="G215" i="4"/>
  <c r="G217" i="4"/>
  <c r="G219" i="4"/>
  <c r="G221" i="4"/>
  <c r="G223" i="4"/>
  <c r="G225" i="4"/>
  <c r="G227" i="4"/>
  <c r="G229" i="4"/>
  <c r="G231" i="4"/>
  <c r="G233" i="4"/>
  <c r="G235" i="4"/>
  <c r="G237" i="4"/>
  <c r="G239" i="4"/>
  <c r="G241" i="4"/>
  <c r="G243" i="4"/>
  <c r="G245" i="4"/>
  <c r="G247" i="4"/>
  <c r="G249" i="4"/>
  <c r="G251" i="4"/>
  <c r="G253" i="4"/>
  <c r="G255" i="4"/>
  <c r="G257" i="4"/>
  <c r="G259" i="4"/>
  <c r="G261" i="4"/>
  <c r="G263" i="4"/>
  <c r="G265" i="4"/>
  <c r="G267" i="4"/>
  <c r="G269" i="4"/>
  <c r="G271" i="4"/>
  <c r="G273" i="4"/>
  <c r="G275" i="4"/>
  <c r="G277" i="4"/>
  <c r="G279" i="4"/>
  <c r="G281" i="4"/>
  <c r="G283" i="4"/>
  <c r="G285" i="4"/>
  <c r="G287" i="4"/>
  <c r="G289" i="4"/>
  <c r="G291" i="4"/>
  <c r="G293" i="4"/>
  <c r="G295" i="4"/>
  <c r="G297" i="4"/>
  <c r="G299" i="4"/>
  <c r="G301" i="4"/>
  <c r="G206" i="4"/>
  <c r="G208" i="4"/>
  <c r="G210" i="4"/>
  <c r="G212" i="4"/>
  <c r="G214" i="4"/>
  <c r="G216" i="4"/>
  <c r="G218" i="4"/>
  <c r="G220" i="4"/>
  <c r="G222" i="4"/>
  <c r="G224" i="4"/>
  <c r="G226" i="4"/>
  <c r="G228" i="4"/>
  <c r="G230" i="4"/>
  <c r="G232" i="4"/>
  <c r="G234" i="4"/>
  <c r="G236" i="4"/>
  <c r="G238" i="4"/>
  <c r="G240" i="4"/>
  <c r="G242" i="4"/>
  <c r="G244" i="4"/>
  <c r="G246" i="4"/>
  <c r="G248" i="4"/>
  <c r="G250" i="4"/>
  <c r="G254" i="4"/>
  <c r="G256" i="4"/>
  <c r="G258" i="4"/>
  <c r="G260" i="4"/>
  <c r="G262" i="4"/>
  <c r="G264" i="4"/>
  <c r="G266" i="4"/>
  <c r="G268" i="4"/>
  <c r="G270" i="4"/>
  <c r="G272" i="4"/>
  <c r="G274" i="4"/>
  <c r="G276" i="4"/>
  <c r="G278" i="4"/>
  <c r="G280" i="4"/>
  <c r="G282" i="4"/>
  <c r="G284" i="4"/>
  <c r="G286" i="4"/>
  <c r="G288" i="4"/>
  <c r="G290" i="4"/>
  <c r="G292" i="4"/>
  <c r="G294" i="4"/>
  <c r="G296" i="4"/>
  <c r="G298" i="4"/>
  <c r="G300" i="4"/>
  <c r="G302" i="4"/>
  <c r="C206" i="10"/>
  <c r="D206" i="4"/>
  <c r="C210" i="10"/>
  <c r="D210" i="4"/>
  <c r="C214" i="10"/>
  <c r="D214" i="4"/>
  <c r="C218" i="10"/>
  <c r="D218" i="4"/>
  <c r="C222" i="10"/>
  <c r="D222" i="4"/>
  <c r="C226" i="10"/>
  <c r="D226" i="4"/>
  <c r="C230" i="10"/>
  <c r="D230" i="4"/>
  <c r="C234" i="10"/>
  <c r="D234" i="4"/>
  <c r="C238" i="10"/>
  <c r="D238" i="4"/>
  <c r="C242" i="10"/>
  <c r="D242" i="4"/>
  <c r="C246" i="10"/>
  <c r="D246" i="4"/>
  <c r="C250" i="10"/>
  <c r="D250" i="4"/>
  <c r="C254" i="10"/>
  <c r="D254" i="4"/>
  <c r="C258" i="10"/>
  <c r="D258" i="4"/>
  <c r="C262" i="10"/>
  <c r="D262" i="4"/>
  <c r="C266" i="10"/>
  <c r="D266" i="4"/>
  <c r="C270" i="10"/>
  <c r="D270" i="4"/>
  <c r="C274" i="10"/>
  <c r="D274" i="4"/>
  <c r="C278" i="10"/>
  <c r="D278" i="4"/>
  <c r="C282" i="10"/>
  <c r="D282" i="4"/>
  <c r="C286" i="10"/>
  <c r="D286" i="4"/>
  <c r="C290" i="10"/>
  <c r="D290" i="4"/>
  <c r="C294" i="10"/>
  <c r="D294" i="4"/>
  <c r="C298" i="10"/>
  <c r="D298" i="4"/>
  <c r="C302" i="10"/>
  <c r="D302" i="4"/>
  <c r="C211" i="10"/>
  <c r="D211" i="4"/>
  <c r="C219" i="10"/>
  <c r="D219" i="4"/>
  <c r="C227" i="10"/>
  <c r="D227" i="4"/>
  <c r="C235" i="10"/>
  <c r="D235" i="4"/>
  <c r="C243" i="10"/>
  <c r="D243" i="4"/>
  <c r="C251" i="10"/>
  <c r="D251" i="4"/>
  <c r="C259" i="10"/>
  <c r="D259" i="4"/>
  <c r="C267" i="10"/>
  <c r="D267" i="4"/>
  <c r="C275" i="10"/>
  <c r="D275" i="4"/>
  <c r="C283" i="10"/>
  <c r="D283" i="4"/>
  <c r="C291" i="10"/>
  <c r="D291" i="4"/>
  <c r="C299" i="10"/>
  <c r="D299" i="4"/>
  <c r="C205" i="10"/>
  <c r="D205" i="4"/>
  <c r="C213" i="10"/>
  <c r="D213" i="4"/>
  <c r="C221" i="10"/>
  <c r="D221" i="4"/>
  <c r="C229" i="10"/>
  <c r="D229" i="4"/>
  <c r="C237" i="10"/>
  <c r="D237" i="4"/>
  <c r="C245" i="10"/>
  <c r="D245" i="4"/>
  <c r="C253" i="10"/>
  <c r="D253" i="4"/>
  <c r="C261" i="10"/>
  <c r="D261" i="4"/>
  <c r="C269" i="10"/>
  <c r="D269" i="4"/>
  <c r="C277" i="10"/>
  <c r="D277" i="4"/>
  <c r="C285" i="10"/>
  <c r="D285" i="4"/>
  <c r="C293" i="10"/>
  <c r="D293" i="4"/>
  <c r="C301" i="10"/>
  <c r="D301" i="4"/>
  <c r="C204" i="10"/>
  <c r="D204" i="4"/>
  <c r="C208" i="10"/>
  <c r="D208" i="4"/>
  <c r="C212" i="10"/>
  <c r="D212" i="4"/>
  <c r="C216" i="10"/>
  <c r="D216" i="4"/>
  <c r="C220" i="10"/>
  <c r="D220" i="4"/>
  <c r="C224" i="10"/>
  <c r="D224" i="4"/>
  <c r="C228" i="10"/>
  <c r="D228" i="4"/>
  <c r="C232" i="10"/>
  <c r="D232" i="4"/>
  <c r="C236" i="10"/>
  <c r="D236" i="4"/>
  <c r="C240" i="10"/>
  <c r="D240" i="4"/>
  <c r="C244" i="10"/>
  <c r="D244" i="4"/>
  <c r="C248" i="10"/>
  <c r="D248" i="4"/>
  <c r="C256" i="10"/>
  <c r="D256" i="4"/>
  <c r="C260" i="10"/>
  <c r="D260" i="4"/>
  <c r="C264" i="10"/>
  <c r="D264" i="4"/>
  <c r="C268" i="10"/>
  <c r="D268" i="4"/>
  <c r="C272" i="10"/>
  <c r="D272" i="4"/>
  <c r="C276" i="10"/>
  <c r="D276" i="4"/>
  <c r="C280" i="10"/>
  <c r="D280" i="4"/>
  <c r="C284" i="10"/>
  <c r="D284" i="4"/>
  <c r="C288" i="10"/>
  <c r="D288" i="4"/>
  <c r="C292" i="10"/>
  <c r="D292" i="4"/>
  <c r="C296" i="10"/>
  <c r="D296" i="4"/>
  <c r="C300" i="10"/>
  <c r="D300" i="4"/>
  <c r="C207" i="10"/>
  <c r="D207" i="4"/>
  <c r="C215" i="10"/>
  <c r="D215" i="4"/>
  <c r="C223" i="10"/>
  <c r="D223" i="4"/>
  <c r="C231" i="10"/>
  <c r="D231" i="4"/>
  <c r="C239" i="10"/>
  <c r="D239" i="4"/>
  <c r="C247" i="10"/>
  <c r="D247" i="4"/>
  <c r="C255" i="10"/>
  <c r="D255" i="4"/>
  <c r="C263" i="10"/>
  <c r="D263" i="4"/>
  <c r="C271" i="10"/>
  <c r="D271" i="4"/>
  <c r="C279" i="10"/>
  <c r="D279" i="4"/>
  <c r="C287" i="10"/>
  <c r="D287" i="4"/>
  <c r="C295" i="10"/>
  <c r="D295" i="4"/>
  <c r="C209" i="10"/>
  <c r="D209" i="4"/>
  <c r="C217" i="10"/>
  <c r="D217" i="4"/>
  <c r="C225" i="10"/>
  <c r="D225" i="4"/>
  <c r="C233" i="10"/>
  <c r="D233" i="4"/>
  <c r="C241" i="10"/>
  <c r="D241" i="4"/>
  <c r="C249" i="10"/>
  <c r="D249" i="4"/>
  <c r="C257" i="10"/>
  <c r="D257" i="4"/>
  <c r="C265" i="10"/>
  <c r="D265" i="4"/>
  <c r="C273" i="10"/>
  <c r="D273" i="4"/>
  <c r="C281" i="10"/>
  <c r="D281" i="4"/>
  <c r="C289" i="10"/>
  <c r="D289" i="4"/>
  <c r="C297" i="10"/>
  <c r="D297" i="4"/>
  <c r="B301" i="10"/>
  <c r="C301" i="4"/>
  <c r="B299" i="10"/>
  <c r="C299" i="4"/>
  <c r="B297" i="10"/>
  <c r="C297" i="4"/>
  <c r="B295" i="10"/>
  <c r="C295" i="4"/>
  <c r="B293" i="10"/>
  <c r="C293" i="4"/>
  <c r="B291" i="10"/>
  <c r="C291" i="4"/>
  <c r="B289" i="10"/>
  <c r="C289" i="4"/>
  <c r="B287" i="10"/>
  <c r="C287" i="4"/>
  <c r="B285" i="10"/>
  <c r="C285" i="4"/>
  <c r="B283" i="10"/>
  <c r="C283" i="4"/>
  <c r="B281" i="10"/>
  <c r="C281" i="4"/>
  <c r="B279" i="10"/>
  <c r="C279" i="4"/>
  <c r="B277" i="10"/>
  <c r="C277" i="4"/>
  <c r="B274" i="10"/>
  <c r="C274" i="4"/>
  <c r="B270" i="10"/>
  <c r="C270" i="4"/>
  <c r="B266" i="10"/>
  <c r="C266" i="4"/>
  <c r="B262" i="10"/>
  <c r="C262" i="4"/>
  <c r="B258" i="10"/>
  <c r="C258" i="4"/>
  <c r="B254" i="10"/>
  <c r="C254" i="4"/>
  <c r="B250" i="10"/>
  <c r="C250" i="4"/>
  <c r="B246" i="10"/>
  <c r="C246" i="4"/>
  <c r="B242" i="10"/>
  <c r="C242" i="4"/>
  <c r="B238" i="10"/>
  <c r="C238" i="4"/>
  <c r="B234" i="10"/>
  <c r="C234" i="4"/>
  <c r="B230" i="10"/>
  <c r="C230" i="4"/>
  <c r="B226" i="10"/>
  <c r="C226" i="4"/>
  <c r="B222" i="10"/>
  <c r="C222" i="4"/>
  <c r="B218" i="10"/>
  <c r="C218" i="4"/>
  <c r="B214" i="10"/>
  <c r="C214" i="4"/>
  <c r="B210" i="10"/>
  <c r="C210" i="4"/>
  <c r="B206" i="10"/>
  <c r="C206" i="4"/>
  <c r="B302" i="10"/>
  <c r="C302" i="4"/>
  <c r="B300" i="10"/>
  <c r="C300" i="4"/>
  <c r="B298" i="10"/>
  <c r="C298" i="4"/>
  <c r="B296" i="10"/>
  <c r="C296" i="4"/>
  <c r="B294" i="10"/>
  <c r="C294" i="4"/>
  <c r="B292" i="10"/>
  <c r="C292" i="4"/>
  <c r="B290" i="10"/>
  <c r="C290" i="4"/>
  <c r="B288" i="10"/>
  <c r="C288" i="4"/>
  <c r="B286" i="10"/>
  <c r="C286" i="4"/>
  <c r="B284" i="10"/>
  <c r="C284" i="4"/>
  <c r="B282" i="10"/>
  <c r="C282" i="4"/>
  <c r="B280" i="10"/>
  <c r="C280" i="4"/>
  <c r="B278" i="10"/>
  <c r="C278" i="4"/>
  <c r="B276" i="10"/>
  <c r="C276" i="4"/>
  <c r="B272" i="10"/>
  <c r="C272" i="4"/>
  <c r="B268" i="10"/>
  <c r="C268" i="4"/>
  <c r="B264" i="10"/>
  <c r="C264" i="4"/>
  <c r="B260" i="10"/>
  <c r="C260" i="4"/>
  <c r="B256" i="10"/>
  <c r="C256" i="4"/>
  <c r="B248" i="10"/>
  <c r="C248" i="4"/>
  <c r="B244" i="10"/>
  <c r="C244" i="4"/>
  <c r="B240" i="10"/>
  <c r="C240" i="4"/>
  <c r="B236" i="10"/>
  <c r="C236" i="4"/>
  <c r="B232" i="10"/>
  <c r="C232" i="4"/>
  <c r="B228" i="10"/>
  <c r="C228" i="4"/>
  <c r="B224" i="10"/>
  <c r="C224" i="4"/>
  <c r="B220" i="10"/>
  <c r="C220" i="4"/>
  <c r="B216" i="10"/>
  <c r="C216" i="4"/>
  <c r="B212" i="10"/>
  <c r="C212" i="4"/>
  <c r="B208" i="10"/>
  <c r="C208" i="4"/>
  <c r="B204" i="10"/>
  <c r="C204" i="4"/>
  <c r="B275" i="10"/>
  <c r="C275" i="4"/>
  <c r="B273" i="10"/>
  <c r="C273" i="4"/>
  <c r="B271" i="10"/>
  <c r="C271" i="4"/>
  <c r="B269" i="10"/>
  <c r="C269" i="4"/>
  <c r="B267" i="10"/>
  <c r="C267" i="4"/>
  <c r="B265" i="10"/>
  <c r="C265" i="4"/>
  <c r="B263" i="10"/>
  <c r="C263" i="4"/>
  <c r="B261" i="10"/>
  <c r="C261" i="4"/>
  <c r="B259" i="10"/>
  <c r="C259" i="4"/>
  <c r="B257" i="10"/>
  <c r="C257" i="4"/>
  <c r="B255" i="10"/>
  <c r="C255" i="4"/>
  <c r="B253" i="10"/>
  <c r="C253" i="4"/>
  <c r="B251" i="10"/>
  <c r="C251" i="4"/>
  <c r="B249" i="10"/>
  <c r="C249" i="4"/>
  <c r="B247" i="10"/>
  <c r="C247" i="4"/>
  <c r="B245" i="10"/>
  <c r="C245" i="4"/>
  <c r="B243" i="10"/>
  <c r="C243" i="4"/>
  <c r="B241" i="10"/>
  <c r="C241" i="4"/>
  <c r="B239" i="10"/>
  <c r="C239" i="4"/>
  <c r="B237" i="10"/>
  <c r="C237" i="4"/>
  <c r="B235" i="10"/>
  <c r="C235" i="4"/>
  <c r="B233" i="10"/>
  <c r="C233" i="4"/>
  <c r="B231" i="10"/>
  <c r="C231" i="4"/>
  <c r="B229" i="10"/>
  <c r="C229" i="4"/>
  <c r="B227" i="10"/>
  <c r="C227" i="4"/>
  <c r="B225" i="10"/>
  <c r="C225" i="4"/>
  <c r="B223" i="10"/>
  <c r="C223" i="4"/>
  <c r="B221" i="10"/>
  <c r="C221" i="4"/>
  <c r="B219" i="10"/>
  <c r="C219" i="4"/>
  <c r="B217" i="10"/>
  <c r="C217" i="4"/>
  <c r="B215" i="10"/>
  <c r="C215" i="4"/>
  <c r="B213" i="10"/>
  <c r="C213" i="4"/>
  <c r="B211" i="10"/>
  <c r="C211" i="4"/>
  <c r="B209" i="10"/>
  <c r="C209" i="4"/>
  <c r="B207" i="10"/>
  <c r="C207" i="4"/>
  <c r="B205" i="10"/>
  <c r="C205" i="4"/>
  <c r="G204" i="4"/>
  <c r="D299" i="10"/>
  <c r="E299" i="4"/>
  <c r="D295" i="10"/>
  <c r="E295" i="4"/>
  <c r="D291" i="10"/>
  <c r="E291" i="4"/>
  <c r="D287" i="10"/>
  <c r="E287" i="4"/>
  <c r="D283" i="10"/>
  <c r="E283" i="4"/>
  <c r="D279" i="10"/>
  <c r="E279" i="4"/>
  <c r="D275" i="10"/>
  <c r="E275" i="4"/>
  <c r="D271" i="10"/>
  <c r="E271" i="4"/>
  <c r="D267" i="10"/>
  <c r="E267" i="4"/>
  <c r="D263" i="10"/>
  <c r="E263" i="4"/>
  <c r="D259" i="10"/>
  <c r="E259" i="4"/>
  <c r="D255" i="10"/>
  <c r="E255" i="4"/>
  <c r="D251" i="10"/>
  <c r="E251" i="4"/>
  <c r="D247" i="10"/>
  <c r="E247" i="4"/>
  <c r="D243" i="10"/>
  <c r="E243" i="4"/>
  <c r="D239" i="10"/>
  <c r="E239" i="4"/>
  <c r="D235" i="10"/>
  <c r="E235" i="4"/>
  <c r="D231" i="10"/>
  <c r="E231" i="4"/>
  <c r="D227" i="10"/>
  <c r="E227" i="4"/>
  <c r="D223" i="10"/>
  <c r="E223" i="4"/>
  <c r="D219" i="10"/>
  <c r="E219" i="4"/>
  <c r="D215" i="10"/>
  <c r="E215" i="4"/>
  <c r="D211" i="10"/>
  <c r="E211" i="4"/>
  <c r="D207" i="10"/>
  <c r="E207" i="4"/>
  <c r="D301" i="10"/>
  <c r="E301" i="4"/>
  <c r="D297" i="10"/>
  <c r="E297" i="4"/>
  <c r="D293" i="10"/>
  <c r="E293" i="4"/>
  <c r="D289" i="10"/>
  <c r="E289" i="4"/>
  <c r="D285" i="10"/>
  <c r="E285" i="4"/>
  <c r="D281" i="10"/>
  <c r="E281" i="4"/>
  <c r="D277" i="10"/>
  <c r="E277" i="4"/>
  <c r="D273" i="10"/>
  <c r="E273" i="4"/>
  <c r="D269" i="10"/>
  <c r="E269" i="4"/>
  <c r="D265" i="10"/>
  <c r="E265" i="4"/>
  <c r="D261" i="10"/>
  <c r="E261" i="4"/>
  <c r="D257" i="10"/>
  <c r="E257" i="4"/>
  <c r="D253" i="10"/>
  <c r="E253" i="4"/>
  <c r="D249" i="10"/>
  <c r="E249" i="4"/>
  <c r="D245" i="10"/>
  <c r="E245" i="4"/>
  <c r="D241" i="10"/>
  <c r="E241" i="4"/>
  <c r="D237" i="10"/>
  <c r="E237" i="4"/>
  <c r="D233" i="10"/>
  <c r="E233" i="4"/>
  <c r="D229" i="10"/>
  <c r="E229" i="4"/>
  <c r="D225" i="10"/>
  <c r="E225" i="4"/>
  <c r="D221" i="10"/>
  <c r="E221" i="4"/>
  <c r="D217" i="10"/>
  <c r="E217" i="4"/>
  <c r="D213" i="10"/>
  <c r="E213" i="4"/>
  <c r="D209" i="10"/>
  <c r="E209" i="4"/>
  <c r="D205" i="10"/>
  <c r="E205" i="4"/>
  <c r="D302" i="10"/>
  <c r="E302" i="4"/>
  <c r="D300" i="10"/>
  <c r="E300" i="4"/>
  <c r="D298" i="10"/>
  <c r="E298" i="4"/>
  <c r="D296" i="10"/>
  <c r="E296" i="4"/>
  <c r="D294" i="10"/>
  <c r="E294" i="4"/>
  <c r="D292" i="10"/>
  <c r="E292" i="4"/>
  <c r="D290" i="10"/>
  <c r="E290" i="4"/>
  <c r="D288" i="10"/>
  <c r="E288" i="4"/>
  <c r="D286" i="10"/>
  <c r="E286" i="4"/>
  <c r="D284" i="10"/>
  <c r="E284" i="4"/>
  <c r="D282" i="10"/>
  <c r="E282" i="4"/>
  <c r="D280" i="10"/>
  <c r="E280" i="4"/>
  <c r="D278" i="10"/>
  <c r="E278" i="4"/>
  <c r="D276" i="10"/>
  <c r="E276" i="4"/>
  <c r="D274" i="10"/>
  <c r="E274" i="4"/>
  <c r="D272" i="10"/>
  <c r="E272" i="4"/>
  <c r="D270" i="10"/>
  <c r="E270" i="4"/>
  <c r="D268" i="10"/>
  <c r="E268" i="4"/>
  <c r="D266" i="10"/>
  <c r="E266" i="4"/>
  <c r="D264" i="10"/>
  <c r="E264" i="4"/>
  <c r="D262" i="10"/>
  <c r="E262" i="4"/>
  <c r="D260" i="10"/>
  <c r="E260" i="4"/>
  <c r="D258" i="10"/>
  <c r="E258" i="4"/>
  <c r="D256" i="10"/>
  <c r="E256" i="4"/>
  <c r="D254" i="10"/>
  <c r="E254" i="4"/>
  <c r="D250" i="10"/>
  <c r="E250" i="4"/>
  <c r="D248" i="10"/>
  <c r="E248" i="4"/>
  <c r="D246" i="10"/>
  <c r="E246" i="4"/>
  <c r="D244" i="10"/>
  <c r="E244" i="4"/>
  <c r="D242" i="10"/>
  <c r="E242" i="4"/>
  <c r="D240" i="10"/>
  <c r="E240" i="4"/>
  <c r="D238" i="10"/>
  <c r="E238" i="4"/>
  <c r="D236" i="10"/>
  <c r="E236" i="4"/>
  <c r="D234" i="10"/>
  <c r="E234" i="4"/>
  <c r="D232" i="10"/>
  <c r="E232" i="4"/>
  <c r="D230" i="10"/>
  <c r="E230" i="4"/>
  <c r="D228" i="10"/>
  <c r="E228" i="4"/>
  <c r="D226" i="10"/>
  <c r="E226" i="4"/>
  <c r="D224" i="10"/>
  <c r="E224" i="4"/>
  <c r="D222" i="10"/>
  <c r="E222" i="4"/>
  <c r="D220" i="10"/>
  <c r="E220" i="4"/>
  <c r="D218" i="10"/>
  <c r="E218" i="4"/>
  <c r="D216" i="10"/>
  <c r="E216" i="4"/>
  <c r="D214" i="10"/>
  <c r="E214" i="4"/>
  <c r="D212" i="10"/>
  <c r="E212" i="4"/>
  <c r="D210" i="10"/>
  <c r="E210" i="4"/>
  <c r="D208" i="10"/>
  <c r="E208" i="4"/>
  <c r="D206" i="10"/>
  <c r="E206" i="4"/>
  <c r="D204" i="10"/>
  <c r="E204" i="4"/>
  <c r="G4" i="4"/>
  <c r="G7" i="4"/>
  <c r="G6" i="4"/>
  <c r="G5" i="4"/>
  <c r="G28" i="4"/>
  <c r="G27" i="4"/>
  <c r="G26" i="4"/>
  <c r="G25" i="4"/>
  <c r="G24" i="4"/>
  <c r="G22" i="4"/>
  <c r="G21" i="4"/>
  <c r="G20" i="4"/>
  <c r="G19" i="4"/>
  <c r="G18" i="4"/>
  <c r="G17" i="4"/>
  <c r="G16" i="4"/>
  <c r="G15" i="4"/>
  <c r="G14" i="4"/>
  <c r="G13" i="4"/>
  <c r="G12" i="4"/>
  <c r="G11" i="4"/>
  <c r="G10" i="4"/>
  <c r="G9" i="4"/>
  <c r="G8"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8" i="4"/>
  <c r="G67" i="4"/>
  <c r="G66" i="4"/>
  <c r="G65" i="4"/>
  <c r="G64" i="4"/>
  <c r="G63" i="4"/>
  <c r="G62" i="4"/>
  <c r="G61" i="4"/>
  <c r="G60" i="4"/>
  <c r="G59" i="4"/>
  <c r="G58" i="4"/>
  <c r="G57" i="4"/>
  <c r="G56" i="4"/>
  <c r="G55" i="4"/>
  <c r="G54" i="4"/>
  <c r="G53" i="4"/>
  <c r="G52" i="4"/>
  <c r="G51" i="4"/>
  <c r="G50" i="4"/>
  <c r="G49" i="4"/>
  <c r="G48" i="4"/>
  <c r="G47" i="4"/>
  <c r="G46" i="4"/>
  <c r="G45" i="4"/>
  <c r="G44" i="4"/>
  <c r="G42" i="4"/>
  <c r="G41" i="4"/>
  <c r="G40" i="4"/>
  <c r="G39" i="4"/>
  <c r="G38" i="4"/>
  <c r="G37" i="4"/>
  <c r="G36" i="4"/>
  <c r="G35" i="4"/>
  <c r="G34" i="4"/>
  <c r="G33" i="4"/>
  <c r="G32" i="4"/>
  <c r="G31" i="4"/>
  <c r="G30" i="4"/>
  <c r="G29" i="4"/>
  <c r="G116" i="4"/>
  <c r="G114" i="4"/>
  <c r="G112" i="4"/>
  <c r="G110" i="4"/>
  <c r="G108" i="4"/>
  <c r="G106" i="4"/>
  <c r="G104" i="4"/>
  <c r="G201" i="4"/>
  <c r="G199" i="4"/>
  <c r="G197" i="4"/>
  <c r="G195" i="4"/>
  <c r="G193" i="4"/>
  <c r="G191" i="4"/>
  <c r="G189" i="4"/>
  <c r="G187" i="4"/>
  <c r="G185" i="4"/>
  <c r="G183" i="4"/>
  <c r="G181" i="4"/>
  <c r="G179" i="4"/>
  <c r="G177" i="4"/>
  <c r="G175" i="4"/>
  <c r="G171" i="4"/>
  <c r="G167" i="4"/>
  <c r="G163" i="4"/>
  <c r="G159" i="4"/>
  <c r="G155" i="4"/>
  <c r="G151" i="4"/>
  <c r="G117" i="4"/>
  <c r="G115" i="4"/>
  <c r="G113" i="4"/>
  <c r="G111" i="4"/>
  <c r="G109" i="4"/>
  <c r="G107" i="4"/>
  <c r="G105" i="4"/>
  <c r="G202" i="4"/>
  <c r="G200" i="4"/>
  <c r="G198" i="4"/>
  <c r="G196" i="4"/>
  <c r="G194" i="4"/>
  <c r="G192" i="4"/>
  <c r="G190" i="4"/>
  <c r="G188" i="4"/>
  <c r="G186" i="4"/>
  <c r="G184" i="4"/>
  <c r="G182" i="4"/>
  <c r="G180" i="4"/>
  <c r="G178" i="4"/>
  <c r="G176" i="4"/>
  <c r="G173" i="4"/>
  <c r="G169" i="4"/>
  <c r="G165" i="4"/>
  <c r="G161" i="4"/>
  <c r="G157" i="4"/>
  <c r="G153" i="4"/>
  <c r="G149" i="4"/>
  <c r="G147" i="4"/>
  <c r="G145" i="4"/>
  <c r="G143" i="4"/>
  <c r="G141" i="4"/>
  <c r="G139" i="4"/>
  <c r="G137" i="4"/>
  <c r="G135" i="4"/>
  <c r="G133" i="4"/>
  <c r="G131" i="4"/>
  <c r="G129" i="4"/>
  <c r="G127" i="4"/>
  <c r="G125" i="4"/>
  <c r="G123" i="4"/>
  <c r="G121" i="4"/>
  <c r="G119" i="4"/>
  <c r="G174" i="4"/>
  <c r="G172" i="4"/>
  <c r="G170" i="4"/>
  <c r="G168" i="4"/>
  <c r="G166" i="4"/>
  <c r="G164" i="4"/>
  <c r="G162" i="4"/>
  <c r="G160" i="4"/>
  <c r="G158" i="4"/>
  <c r="G156" i="4"/>
  <c r="G154" i="4"/>
  <c r="G152" i="4"/>
  <c r="G150" i="4"/>
  <c r="G148" i="4"/>
  <c r="G146" i="4"/>
  <c r="G144" i="4"/>
  <c r="G142" i="4"/>
  <c r="G140" i="4"/>
  <c r="G138" i="4"/>
  <c r="G134" i="4"/>
  <c r="G132" i="4"/>
  <c r="G130" i="4"/>
  <c r="G128" i="4"/>
  <c r="G126" i="4"/>
  <c r="G124" i="4"/>
  <c r="G122" i="4"/>
  <c r="G120" i="4"/>
  <c r="G118" i="4"/>
  <c r="E302" i="10"/>
  <c r="F302" i="4"/>
  <c r="E301" i="10"/>
  <c r="F301" i="4"/>
  <c r="E300" i="10"/>
  <c r="F300" i="4"/>
  <c r="E299" i="10"/>
  <c r="F299" i="4"/>
  <c r="E298" i="10"/>
  <c r="F298" i="4"/>
  <c r="E297" i="10"/>
  <c r="F297" i="4"/>
  <c r="E296" i="10"/>
  <c r="F296" i="4"/>
  <c r="E295" i="10"/>
  <c r="F295" i="4"/>
  <c r="E294" i="10"/>
  <c r="F294" i="4"/>
  <c r="E293" i="10"/>
  <c r="F293" i="4"/>
  <c r="E292" i="10"/>
  <c r="F292" i="4"/>
  <c r="E291" i="10"/>
  <c r="F291" i="4"/>
  <c r="E290" i="10"/>
  <c r="F290" i="4"/>
  <c r="E289" i="10"/>
  <c r="F289" i="4"/>
  <c r="E288" i="10"/>
  <c r="F288" i="4"/>
  <c r="E287" i="10"/>
  <c r="F287" i="4"/>
  <c r="E286" i="10"/>
  <c r="F286" i="4"/>
  <c r="E285" i="10"/>
  <c r="F285" i="4"/>
  <c r="E284" i="10"/>
  <c r="F284" i="4"/>
  <c r="E283" i="10"/>
  <c r="F283" i="4"/>
  <c r="E282" i="10"/>
  <c r="F282" i="4"/>
  <c r="E281" i="10"/>
  <c r="F281" i="4"/>
  <c r="E280" i="10"/>
  <c r="F280" i="4"/>
  <c r="E279" i="10"/>
  <c r="F279" i="4"/>
  <c r="E278" i="10"/>
  <c r="F278" i="4"/>
  <c r="E277" i="10"/>
  <c r="F277" i="4"/>
  <c r="E276" i="10"/>
  <c r="F276" i="4"/>
  <c r="E275" i="10"/>
  <c r="F275" i="4"/>
  <c r="E274" i="10"/>
  <c r="F274" i="4"/>
  <c r="E273" i="10"/>
  <c r="F273" i="4"/>
  <c r="E272" i="10"/>
  <c r="F272" i="4"/>
  <c r="E271" i="10"/>
  <c r="F271" i="4"/>
  <c r="E270" i="10"/>
  <c r="F270" i="4"/>
  <c r="E269" i="10"/>
  <c r="F269" i="4"/>
  <c r="E268" i="10"/>
  <c r="F268" i="4"/>
  <c r="E267" i="10"/>
  <c r="F267" i="4"/>
  <c r="E266" i="10"/>
  <c r="F266" i="4"/>
  <c r="E265" i="10"/>
  <c r="F265" i="4"/>
  <c r="E264" i="10"/>
  <c r="F264" i="4"/>
  <c r="E263" i="10"/>
  <c r="F263" i="4"/>
  <c r="E262" i="10"/>
  <c r="F262" i="4"/>
  <c r="E261" i="10"/>
  <c r="F261" i="4"/>
  <c r="E260" i="10"/>
  <c r="F260" i="4"/>
  <c r="E259" i="10"/>
  <c r="F259" i="4"/>
  <c r="E258" i="10"/>
  <c r="F258" i="4"/>
  <c r="E257" i="10"/>
  <c r="F257" i="4"/>
  <c r="E256" i="10"/>
  <c r="F256" i="4"/>
  <c r="E255" i="10"/>
  <c r="F255" i="4"/>
  <c r="E254" i="10"/>
  <c r="F254" i="4"/>
  <c r="E253" i="10"/>
  <c r="F253" i="4"/>
  <c r="E251" i="10"/>
  <c r="F251" i="4"/>
  <c r="E250" i="10"/>
  <c r="F250" i="4"/>
  <c r="E249" i="10"/>
  <c r="F249" i="4"/>
  <c r="E248" i="10"/>
  <c r="F248" i="4"/>
  <c r="E247" i="10"/>
  <c r="F247" i="4"/>
  <c r="E246" i="10"/>
  <c r="F246" i="4"/>
  <c r="E245" i="10"/>
  <c r="F245" i="4"/>
  <c r="E244" i="10"/>
  <c r="F244" i="4"/>
  <c r="E243" i="10"/>
  <c r="F243" i="4"/>
  <c r="E242" i="10"/>
  <c r="F242" i="4"/>
  <c r="E241" i="10"/>
  <c r="F241" i="4"/>
  <c r="E240" i="10"/>
  <c r="F240" i="4"/>
  <c r="E239" i="10"/>
  <c r="F239" i="4"/>
  <c r="E238" i="10"/>
  <c r="F238" i="4"/>
  <c r="E237" i="10"/>
  <c r="F237" i="4"/>
  <c r="E236" i="10"/>
  <c r="F236" i="4"/>
  <c r="E235" i="10"/>
  <c r="F235" i="4"/>
  <c r="E234" i="10"/>
  <c r="F234" i="4"/>
  <c r="E233" i="10"/>
  <c r="F233" i="4"/>
  <c r="E232" i="10"/>
  <c r="F232" i="4"/>
  <c r="E231" i="10"/>
  <c r="F231" i="4"/>
  <c r="E230" i="10"/>
  <c r="F230" i="4"/>
  <c r="E229" i="10"/>
  <c r="F229" i="4"/>
  <c r="E228" i="10"/>
  <c r="F228" i="4"/>
  <c r="E227" i="10"/>
  <c r="F227" i="4"/>
  <c r="E226" i="10"/>
  <c r="F226" i="4"/>
  <c r="E225" i="10"/>
  <c r="F225" i="4"/>
  <c r="E224" i="10"/>
  <c r="F224" i="4"/>
  <c r="E223" i="10"/>
  <c r="F223" i="4"/>
  <c r="E222" i="10"/>
  <c r="F222" i="4"/>
  <c r="E221" i="10"/>
  <c r="F221" i="4"/>
  <c r="E220" i="10"/>
  <c r="F220" i="4"/>
  <c r="E219" i="10"/>
  <c r="F219" i="4"/>
  <c r="E218" i="10"/>
  <c r="F218" i="4"/>
  <c r="E217" i="10"/>
  <c r="F217" i="4"/>
  <c r="E216" i="10"/>
  <c r="F216" i="4"/>
  <c r="E215" i="10"/>
  <c r="F215" i="4"/>
  <c r="E214" i="10"/>
  <c r="F214" i="4"/>
  <c r="E213" i="10"/>
  <c r="F213" i="4"/>
  <c r="E212" i="10"/>
  <c r="F212" i="4"/>
  <c r="E211" i="10"/>
  <c r="F211" i="4"/>
  <c r="E210" i="10"/>
  <c r="F210" i="4"/>
  <c r="E209" i="10"/>
  <c r="F209" i="4"/>
  <c r="E208" i="10"/>
  <c r="F208" i="4"/>
  <c r="E207" i="10"/>
  <c r="F207" i="4"/>
  <c r="E206" i="10"/>
  <c r="F206" i="4"/>
  <c r="E205" i="10"/>
  <c r="F205" i="4"/>
  <c r="E204" i="10"/>
  <c r="F204" i="4"/>
  <c r="E202" i="10"/>
  <c r="F202" i="4"/>
  <c r="E201" i="10"/>
  <c r="F201" i="4"/>
  <c r="E200" i="10"/>
  <c r="F200" i="4"/>
  <c r="E199" i="10"/>
  <c r="F199" i="4"/>
  <c r="E198" i="10"/>
  <c r="F198" i="4"/>
  <c r="E197" i="10"/>
  <c r="F197" i="4"/>
  <c r="E196" i="10"/>
  <c r="F196" i="4"/>
  <c r="E195" i="10"/>
  <c r="F195" i="4"/>
  <c r="E194" i="10"/>
  <c r="F194" i="4"/>
  <c r="E193" i="10"/>
  <c r="F193" i="4"/>
  <c r="E192" i="10"/>
  <c r="F192" i="4"/>
  <c r="E191" i="10"/>
  <c r="F191" i="4"/>
  <c r="E190" i="10"/>
  <c r="F190" i="4"/>
  <c r="E189" i="10"/>
  <c r="F189" i="4"/>
  <c r="E188" i="10"/>
  <c r="F188" i="4"/>
  <c r="E187" i="10"/>
  <c r="F187" i="4"/>
  <c r="E186" i="10"/>
  <c r="F186" i="4"/>
  <c r="E185" i="10"/>
  <c r="F185" i="4"/>
  <c r="E184" i="10"/>
  <c r="F184" i="4"/>
  <c r="E183" i="10"/>
  <c r="F183" i="4"/>
  <c r="E182" i="10"/>
  <c r="F182" i="4"/>
  <c r="E181" i="10"/>
  <c r="F181" i="4"/>
  <c r="E180" i="10"/>
  <c r="F180" i="4"/>
  <c r="E179" i="10"/>
  <c r="F179" i="4"/>
  <c r="E178" i="10"/>
  <c r="F178" i="4"/>
  <c r="E177" i="10"/>
  <c r="F177" i="4"/>
  <c r="E176" i="10"/>
  <c r="F176" i="4"/>
  <c r="E175" i="10"/>
  <c r="F175" i="4"/>
  <c r="E174" i="10"/>
  <c r="F174" i="4"/>
  <c r="E173" i="10"/>
  <c r="F173" i="4"/>
  <c r="E172" i="10"/>
  <c r="F172" i="4"/>
  <c r="E171" i="10"/>
  <c r="F171" i="4"/>
  <c r="E170" i="10"/>
  <c r="F170" i="4"/>
  <c r="E169" i="10"/>
  <c r="F169" i="4"/>
  <c r="E168" i="10"/>
  <c r="F168" i="4"/>
  <c r="E167" i="10"/>
  <c r="F167" i="4"/>
  <c r="E166" i="10"/>
  <c r="F166" i="4"/>
  <c r="E165" i="10"/>
  <c r="F165" i="4"/>
  <c r="E164" i="10"/>
  <c r="F164" i="4"/>
  <c r="E163" i="10"/>
  <c r="F163" i="4"/>
  <c r="E162" i="10"/>
  <c r="F162" i="4"/>
  <c r="E161" i="10"/>
  <c r="F161" i="4"/>
  <c r="E160" i="10"/>
  <c r="F160" i="4"/>
  <c r="E159" i="10"/>
  <c r="F159" i="4"/>
  <c r="E158" i="10"/>
  <c r="F158" i="4"/>
  <c r="E157" i="10"/>
  <c r="F157" i="4"/>
  <c r="E156" i="10"/>
  <c r="F156" i="4"/>
  <c r="E155" i="10"/>
  <c r="F155" i="4"/>
  <c r="E154" i="10"/>
  <c r="F154" i="4"/>
  <c r="E153" i="10"/>
  <c r="F153" i="4"/>
  <c r="E152" i="10"/>
  <c r="F152" i="4"/>
  <c r="E151" i="10"/>
  <c r="F151" i="4"/>
  <c r="E150" i="10"/>
  <c r="F150" i="4"/>
  <c r="E149" i="10"/>
  <c r="F149" i="4"/>
  <c r="E148" i="10"/>
  <c r="F148" i="4"/>
  <c r="E147" i="10"/>
  <c r="F147" i="4"/>
  <c r="E146" i="10"/>
  <c r="F146" i="4"/>
  <c r="E145" i="10"/>
  <c r="F145" i="4"/>
  <c r="E144" i="10"/>
  <c r="F144" i="4"/>
  <c r="E143" i="10"/>
  <c r="F143" i="4"/>
  <c r="E142" i="10"/>
  <c r="F142" i="4"/>
  <c r="E141" i="10"/>
  <c r="F141" i="4"/>
  <c r="E140" i="10"/>
  <c r="F140" i="4"/>
  <c r="E139" i="10"/>
  <c r="F139" i="4"/>
  <c r="E138" i="10"/>
  <c r="F138" i="4"/>
  <c r="E137" i="10"/>
  <c r="F137" i="4"/>
  <c r="E135" i="10"/>
  <c r="F135" i="4"/>
  <c r="E134" i="10"/>
  <c r="F134" i="4"/>
  <c r="E133" i="10"/>
  <c r="F133" i="4"/>
  <c r="E132" i="10"/>
  <c r="F132" i="4"/>
  <c r="E131" i="10"/>
  <c r="F131" i="4"/>
  <c r="E130" i="10"/>
  <c r="F130" i="4"/>
  <c r="E129" i="10"/>
  <c r="F129" i="4"/>
  <c r="E128" i="10"/>
  <c r="F128" i="4"/>
  <c r="E127" i="10"/>
  <c r="F127" i="4"/>
  <c r="E126" i="10"/>
  <c r="F126" i="4"/>
  <c r="E125" i="10"/>
  <c r="F125" i="4"/>
  <c r="E124" i="10"/>
  <c r="F124" i="4"/>
  <c r="E123" i="10"/>
  <c r="F123" i="4"/>
  <c r="E122" i="10"/>
  <c r="F122" i="4"/>
  <c r="E121" i="10"/>
  <c r="F121" i="4"/>
  <c r="E120" i="10"/>
  <c r="F120" i="4"/>
  <c r="E119" i="10"/>
  <c r="F119" i="4"/>
  <c r="E118" i="10"/>
  <c r="F118" i="4"/>
  <c r="E117" i="10"/>
  <c r="F117" i="4"/>
  <c r="E116" i="10"/>
  <c r="F116" i="4"/>
  <c r="E115" i="10"/>
  <c r="F115" i="4"/>
  <c r="E114" i="10"/>
  <c r="F114" i="4"/>
  <c r="E113" i="10"/>
  <c r="F113" i="4"/>
  <c r="E112" i="10"/>
  <c r="F112" i="4"/>
  <c r="E111" i="10"/>
  <c r="F111" i="4"/>
  <c r="E110" i="10"/>
  <c r="F110" i="4"/>
  <c r="E109" i="10"/>
  <c r="F109" i="4"/>
  <c r="E108" i="10"/>
  <c r="F108" i="4"/>
  <c r="E107" i="10"/>
  <c r="F107" i="4"/>
  <c r="E106" i="10"/>
  <c r="F106" i="4"/>
  <c r="E105" i="10"/>
  <c r="F105" i="4"/>
  <c r="E104" i="10"/>
  <c r="F104" i="4"/>
  <c r="E102" i="10"/>
  <c r="F102" i="4"/>
  <c r="E101" i="10"/>
  <c r="F101" i="4"/>
  <c r="E100" i="10"/>
  <c r="F100" i="4"/>
  <c r="E99" i="10"/>
  <c r="F99" i="4"/>
  <c r="E98" i="10"/>
  <c r="F98" i="4"/>
  <c r="E97" i="10"/>
  <c r="F97" i="4"/>
  <c r="E96" i="10"/>
  <c r="F96" i="4"/>
  <c r="E95" i="10"/>
  <c r="F95" i="4"/>
  <c r="E94" i="10"/>
  <c r="F94" i="4"/>
  <c r="E93" i="10"/>
  <c r="F93" i="4"/>
  <c r="E92" i="10"/>
  <c r="F92" i="4"/>
  <c r="E91" i="10"/>
  <c r="F91" i="4"/>
  <c r="E90" i="10"/>
  <c r="F90" i="4"/>
  <c r="E89" i="10"/>
  <c r="F89" i="4"/>
  <c r="E88" i="10"/>
  <c r="F88" i="4"/>
  <c r="E87" i="10"/>
  <c r="F87" i="4"/>
  <c r="E86" i="10"/>
  <c r="F86" i="4"/>
  <c r="E85" i="10"/>
  <c r="F85" i="4"/>
  <c r="E84" i="10"/>
  <c r="F84" i="4"/>
  <c r="E83" i="10"/>
  <c r="F83" i="4"/>
  <c r="E82" i="10"/>
  <c r="F82" i="4"/>
  <c r="E81" i="10"/>
  <c r="F81" i="4"/>
  <c r="E80" i="10"/>
  <c r="F80" i="4"/>
  <c r="E79" i="10"/>
  <c r="F79" i="4"/>
  <c r="E78" i="10"/>
  <c r="F78" i="4"/>
  <c r="E77" i="10"/>
  <c r="F77" i="4"/>
  <c r="E76" i="10"/>
  <c r="F76" i="4"/>
  <c r="E75" i="10"/>
  <c r="F75" i="4"/>
  <c r="E74" i="10"/>
  <c r="F74" i="4"/>
  <c r="E73" i="10"/>
  <c r="F73" i="4"/>
  <c r="E72" i="10"/>
  <c r="F72" i="4"/>
  <c r="E71" i="10"/>
  <c r="F71" i="4"/>
  <c r="E70" i="10"/>
  <c r="F70" i="4"/>
  <c r="E68" i="10"/>
  <c r="F68" i="4"/>
  <c r="E67" i="10"/>
  <c r="F67" i="4"/>
  <c r="E66" i="10"/>
  <c r="F66" i="4"/>
  <c r="E65" i="10"/>
  <c r="F65" i="4"/>
  <c r="E64" i="10"/>
  <c r="F64" i="4"/>
  <c r="E63" i="10"/>
  <c r="F63" i="4"/>
  <c r="E62" i="10"/>
  <c r="F62" i="4"/>
  <c r="E61" i="10"/>
  <c r="F61" i="4"/>
  <c r="E60" i="10"/>
  <c r="F60" i="4"/>
  <c r="E59" i="10"/>
  <c r="F59" i="4"/>
  <c r="E58" i="10"/>
  <c r="F58" i="4"/>
  <c r="E57" i="10"/>
  <c r="F57" i="4"/>
  <c r="E56" i="10"/>
  <c r="F56" i="4"/>
  <c r="E55" i="10"/>
  <c r="F55" i="4"/>
  <c r="E54" i="10"/>
  <c r="F54" i="4"/>
  <c r="E53" i="10"/>
  <c r="F53" i="4"/>
  <c r="E52" i="10"/>
  <c r="F52" i="4"/>
  <c r="E51" i="10"/>
  <c r="F51" i="4"/>
  <c r="E50" i="10"/>
  <c r="F50" i="4"/>
  <c r="E49" i="10"/>
  <c r="F49" i="4"/>
  <c r="E48" i="10"/>
  <c r="F48" i="4"/>
  <c r="E47" i="10"/>
  <c r="F47" i="4"/>
  <c r="E46" i="10"/>
  <c r="F46" i="4"/>
  <c r="E45" i="10"/>
  <c r="F45" i="4"/>
  <c r="E44" i="10"/>
  <c r="F44" i="4"/>
  <c r="E42" i="10"/>
  <c r="F42" i="4"/>
  <c r="E41" i="10"/>
  <c r="F41" i="4"/>
  <c r="E40" i="10"/>
  <c r="F40" i="4"/>
  <c r="E39" i="10"/>
  <c r="F39" i="4"/>
  <c r="E38" i="10"/>
  <c r="F38" i="4"/>
  <c r="E37" i="10"/>
  <c r="F37" i="4"/>
  <c r="E36" i="10"/>
  <c r="F36" i="4"/>
  <c r="E35" i="10"/>
  <c r="F35" i="4"/>
  <c r="E34" i="10"/>
  <c r="F34" i="4"/>
  <c r="E33" i="10"/>
  <c r="F33" i="4"/>
  <c r="E32" i="10"/>
  <c r="F32" i="4"/>
  <c r="E31" i="10"/>
  <c r="F31" i="4"/>
  <c r="E30" i="10"/>
  <c r="F30" i="4"/>
  <c r="E29" i="10"/>
  <c r="F29" i="4"/>
  <c r="E28" i="10"/>
  <c r="F28" i="4"/>
  <c r="E27" i="10"/>
  <c r="F27" i="4"/>
  <c r="E26" i="10"/>
  <c r="F26" i="4"/>
  <c r="E25" i="10"/>
  <c r="F25" i="4"/>
  <c r="E24" i="10"/>
  <c r="F24" i="4"/>
  <c r="E22" i="10"/>
  <c r="F22" i="4"/>
  <c r="E21" i="10"/>
  <c r="F21" i="4"/>
  <c r="E20" i="10"/>
  <c r="F20" i="4"/>
  <c r="E19" i="10"/>
  <c r="F19" i="4"/>
  <c r="E18" i="10"/>
  <c r="F18" i="4"/>
  <c r="E17" i="10"/>
  <c r="F17" i="4"/>
  <c r="E16" i="10"/>
  <c r="F16" i="4"/>
  <c r="E15" i="10"/>
  <c r="F15" i="4"/>
  <c r="E14" i="10"/>
  <c r="F14" i="4"/>
  <c r="E13" i="10"/>
  <c r="F13" i="4"/>
  <c r="E12" i="10"/>
  <c r="F12" i="4"/>
  <c r="E11" i="10"/>
  <c r="F11" i="4"/>
  <c r="E10" i="10"/>
  <c r="F10" i="4"/>
  <c r="E9" i="10"/>
  <c r="F9" i="4"/>
  <c r="E8" i="10"/>
  <c r="F8" i="4"/>
  <c r="E7" i="10"/>
  <c r="F7" i="4"/>
  <c r="E6" i="10"/>
  <c r="F6" i="4"/>
  <c r="E5" i="10"/>
  <c r="F5" i="4"/>
  <c r="E4" i="10"/>
  <c r="F4" i="4"/>
</calcChain>
</file>

<file path=xl/sharedStrings.xml><?xml version="1.0" encoding="utf-8"?>
<sst xmlns="http://schemas.openxmlformats.org/spreadsheetml/2006/main" count="345" uniqueCount="252">
  <si>
    <t>English</t>
  </si>
  <si>
    <t>A</t>
  </si>
  <si>
    <t>B</t>
  </si>
  <si>
    <t>C</t>
  </si>
  <si>
    <t>D</t>
  </si>
  <si>
    <t>Measured Deflection</t>
  </si>
  <si>
    <t>Clamped</t>
  </si>
  <si>
    <r>
      <rPr>
        <sz val="16"/>
        <color theme="1"/>
        <rFont val="Calibri"/>
        <family val="2"/>
      </rPr>
      <t>x</t>
    </r>
    <r>
      <rPr>
        <sz val="8"/>
        <color theme="1"/>
        <rFont val="Calibri"/>
        <family val="2"/>
      </rPr>
      <t>1</t>
    </r>
    <r>
      <rPr>
        <sz val="11"/>
        <color theme="1"/>
        <rFont val="Calibri"/>
        <family val="2"/>
      </rPr>
      <t xml:space="preserve"> =</t>
    </r>
  </si>
  <si>
    <r>
      <rPr>
        <sz val="16"/>
        <color theme="1"/>
        <rFont val="Calibri"/>
        <family val="2"/>
      </rPr>
      <t>x</t>
    </r>
    <r>
      <rPr>
        <sz val="8"/>
        <color theme="1"/>
        <rFont val="Calibri"/>
        <family val="2"/>
      </rPr>
      <t xml:space="preserve">2 </t>
    </r>
    <r>
      <rPr>
        <sz val="11"/>
        <color theme="1"/>
        <rFont val="Calibri"/>
        <family val="2"/>
      </rPr>
      <t>=</t>
    </r>
  </si>
  <si>
    <r>
      <rPr>
        <sz val="16"/>
        <color theme="1"/>
        <rFont val="Calibri"/>
        <family val="2"/>
      </rPr>
      <t>x</t>
    </r>
    <r>
      <rPr>
        <sz val="8"/>
        <color theme="1"/>
        <rFont val="Calibri"/>
        <family val="2"/>
      </rPr>
      <t>3</t>
    </r>
    <r>
      <rPr>
        <sz val="11"/>
        <color theme="1"/>
        <rFont val="Calibri"/>
        <family val="2"/>
      </rPr>
      <t xml:space="preserve"> =</t>
    </r>
  </si>
  <si>
    <r>
      <rPr>
        <sz val="16"/>
        <color theme="1"/>
        <rFont val="Calibri"/>
        <family val="2"/>
      </rPr>
      <t>x</t>
    </r>
    <r>
      <rPr>
        <sz val="8"/>
        <color theme="1"/>
        <rFont val="Calibri"/>
        <family val="2"/>
      </rPr>
      <t>4</t>
    </r>
    <r>
      <rPr>
        <sz val="11"/>
        <color theme="1"/>
        <rFont val="Calibri"/>
        <family val="2"/>
      </rPr>
      <t xml:space="preserve"> =</t>
    </r>
  </si>
  <si>
    <t>P =</t>
  </si>
  <si>
    <t>d =</t>
  </si>
  <si>
    <t>Beam Properties</t>
  </si>
  <si>
    <t>Beam</t>
  </si>
  <si>
    <t>Material</t>
  </si>
  <si>
    <t>Thickness [mm]</t>
  </si>
  <si>
    <t>Width [mm]</t>
  </si>
  <si>
    <t>E [GPa]</t>
  </si>
  <si>
    <t>pvc</t>
  </si>
  <si>
    <t>Deflection</t>
  </si>
  <si>
    <t>Slope</t>
  </si>
  <si>
    <t>Moment</t>
  </si>
  <si>
    <t>Shear</t>
  </si>
  <si>
    <t>Load</t>
  </si>
  <si>
    <t>Plotting</t>
  </si>
  <si>
    <t xml:space="preserve">   </t>
  </si>
  <si>
    <t>x</t>
  </si>
  <si>
    <t>ω（x)</t>
  </si>
  <si>
    <t>θ(x)</t>
  </si>
  <si>
    <t>κ(x)</t>
  </si>
  <si>
    <t xml:space="preserve"> М(x)</t>
  </si>
  <si>
    <t xml:space="preserve"> V(x）</t>
  </si>
  <si>
    <t>F</t>
  </si>
  <si>
    <t>Location</t>
  </si>
  <si>
    <t>Curvature</t>
  </si>
  <si>
    <t>Title</t>
  </si>
  <si>
    <t>Beam Bending Spreadsheet</t>
  </si>
  <si>
    <t>Boundary Conditions</t>
  </si>
  <si>
    <t>Simply Supported</t>
  </si>
  <si>
    <t>Free</t>
  </si>
  <si>
    <t>Specified Load</t>
  </si>
  <si>
    <t>Units</t>
  </si>
  <si>
    <t>m</t>
  </si>
  <si>
    <t>Meters</t>
  </si>
  <si>
    <t>N</t>
  </si>
  <si>
    <t>Newtons</t>
  </si>
  <si>
    <t>Other Terms</t>
  </si>
  <si>
    <t>Coefficients</t>
  </si>
  <si>
    <t>×</t>
    <phoneticPr fontId="10" type="noConversion"/>
  </si>
  <si>
    <t>=</t>
    <phoneticPr fontId="10" type="noConversion"/>
  </si>
  <si>
    <t>=</t>
    <phoneticPr fontId="10" type="noConversion"/>
  </si>
  <si>
    <t>×</t>
    <phoneticPr fontId="10" type="noConversion"/>
  </si>
  <si>
    <t>a1</t>
  </si>
  <si>
    <t>b1</t>
  </si>
  <si>
    <t>c1</t>
  </si>
  <si>
    <t>d1</t>
  </si>
  <si>
    <t>a2</t>
  </si>
  <si>
    <t>b2</t>
  </si>
  <si>
    <t>c2</t>
  </si>
  <si>
    <t>d2</t>
  </si>
  <si>
    <t>a3</t>
  </si>
  <si>
    <t>b3</t>
  </si>
  <si>
    <t>c3</t>
  </si>
  <si>
    <t>d3</t>
  </si>
  <si>
    <t>A</t>
    <phoneticPr fontId="10" type="noConversion"/>
  </si>
  <si>
    <t>t</t>
  </si>
  <si>
    <t>w</t>
  </si>
  <si>
    <t>Input</t>
  </si>
  <si>
    <t>Beam Boundary Conditions</t>
  </si>
  <si>
    <t>Important Data</t>
  </si>
  <si>
    <t xml:space="preserve"> V(x)</t>
  </si>
  <si>
    <t>Language</t>
  </si>
  <si>
    <t>F(x)</t>
  </si>
  <si>
    <t>w1 @ left</t>
  </si>
  <si>
    <t>w1 @ mid1</t>
  </si>
  <si>
    <t>s1 @ left</t>
  </si>
  <si>
    <t>s1 @ mid1</t>
  </si>
  <si>
    <t>k1 @ left</t>
  </si>
  <si>
    <t>k1 @ mid1</t>
  </si>
  <si>
    <t>v1 @ left</t>
  </si>
  <si>
    <t>v1 @ mid1</t>
  </si>
  <si>
    <t>w2 @ mid1</t>
  </si>
  <si>
    <t>w2 @ mid2</t>
  </si>
  <si>
    <t>s2 @ mid1</t>
  </si>
  <si>
    <t>s2 @ mid2</t>
  </si>
  <si>
    <t>k2 @ mid1</t>
  </si>
  <si>
    <t>k2 @ mid2</t>
  </si>
  <si>
    <t>v2 @ mid1</t>
  </si>
  <si>
    <t>v2 @ mid2</t>
  </si>
  <si>
    <t>w3 @ mid2</t>
  </si>
  <si>
    <t>w3 @ right</t>
  </si>
  <si>
    <t>s3 @ mid2</t>
  </si>
  <si>
    <t>s3 @ right</t>
  </si>
  <si>
    <t>k3 @ mid2</t>
  </si>
  <si>
    <t>k3 @ right</t>
  </si>
  <si>
    <t>v3 @ mid2</t>
  </si>
  <si>
    <t>v3 @ right</t>
  </si>
  <si>
    <t xml:space="preserve">RHS </t>
  </si>
  <si>
    <t>Left End</t>
  </si>
  <si>
    <t>Mid1</t>
  </si>
  <si>
    <t>Mid2</t>
  </si>
  <si>
    <t>Right End</t>
  </si>
  <si>
    <t>Beam Property</t>
  </si>
  <si>
    <t>User 1</t>
    <phoneticPr fontId="10" type="noConversion"/>
  </si>
  <si>
    <t>User 2</t>
    <phoneticPr fontId="10" type="noConversion"/>
  </si>
  <si>
    <t>Plotting:</t>
    <phoneticPr fontId="12" type="noConversion"/>
  </si>
  <si>
    <t>No Load</t>
    <phoneticPr fontId="10" type="noConversion"/>
  </si>
  <si>
    <t>German</t>
    <phoneticPr fontId="10" type="noConversion"/>
  </si>
  <si>
    <t>Spanish</t>
    <phoneticPr fontId="10" type="noConversion"/>
  </si>
  <si>
    <t>Portuguese</t>
    <phoneticPr fontId="10" type="noConversion"/>
  </si>
  <si>
    <t>Japanese</t>
    <phoneticPr fontId="10" type="noConversion"/>
  </si>
  <si>
    <t>Arabic</t>
    <phoneticPr fontId="10" type="noConversion"/>
  </si>
  <si>
    <t>Russian</t>
    <phoneticPr fontId="10" type="noConversion"/>
  </si>
  <si>
    <t>Hindi</t>
    <phoneticPr fontId="10" type="noConversion"/>
  </si>
  <si>
    <t>Bengali</t>
    <phoneticPr fontId="10" type="noConversion"/>
  </si>
  <si>
    <t>Punjabi</t>
    <phoneticPr fontId="10" type="noConversion"/>
  </si>
  <si>
    <t>Urdu</t>
    <phoneticPr fontId="10" type="noConversion"/>
  </si>
  <si>
    <t>Polish</t>
    <phoneticPr fontId="10" type="noConversion"/>
  </si>
  <si>
    <t>Malay-Indonesian</t>
    <phoneticPr fontId="10" type="noConversion"/>
  </si>
  <si>
    <t>Position</t>
    <phoneticPr fontId="10" type="noConversion"/>
  </si>
  <si>
    <t>Language</t>
    <phoneticPr fontId="10" type="noConversion"/>
  </si>
  <si>
    <t>Positive Sign</t>
    <phoneticPr fontId="10" type="noConversion"/>
  </si>
  <si>
    <t>A</t>
    <phoneticPr fontId="10" type="noConversion"/>
  </si>
  <si>
    <t>B</t>
    <phoneticPr fontId="10" type="noConversion"/>
  </si>
  <si>
    <t>C</t>
    <phoneticPr fontId="10" type="noConversion"/>
  </si>
  <si>
    <t>D</t>
    <phoneticPr fontId="10" type="noConversion"/>
  </si>
  <si>
    <t>Beam Analysis Spreadsheet</t>
  </si>
  <si>
    <t>Overview:</t>
  </si>
  <si>
    <t>This spreadsheet can be used on its own or with the Beam Deflection Activity described at http://www.civil.uwaterloo.ca/brodland/MechanicsModels/beamdeflection.html. In either case, the user specifies the beam properties, boundary conditions and applied loads or deflections, and the spreadsheet generates plots of deflection, slope, shear, curvature or moment, shear and applied load. A description of the mathematical formulation is available at the URL given above, as are directions for matching experiments.</t>
  </si>
  <si>
    <t>Instructions:</t>
  </si>
  <si>
    <t>Information about the worksheets (tabs):</t>
  </si>
  <si>
    <r>
      <t>Properties</t>
    </r>
    <r>
      <rPr>
        <sz val="11"/>
        <color theme="1"/>
        <rFont val="Calibri"/>
        <family val="2"/>
      </rPr>
      <t xml:space="preserve"> – This tab allows the user to select beam properties from pre-set options that may correspond to matching experiments or to custom specifications. They can also choose the sign conventions used for deflection, slope, shear, curvature, moment, shear and load, and they can choose whether the spreadsheet plots curvature or moment.</t>
    </r>
  </si>
  <si>
    <t>Credits:</t>
  </si>
  <si>
    <r>
      <rPr>
        <i/>
        <sz val="16"/>
        <rFont val="等线"/>
        <family val="2"/>
      </rPr>
      <t>中文</t>
    </r>
  </si>
  <si>
    <r>
      <rPr>
        <b/>
        <sz val="11"/>
        <color theme="1"/>
        <rFont val="等线"/>
        <family val="2"/>
      </rPr>
      <t>标题</t>
    </r>
  </si>
  <si>
    <r>
      <rPr>
        <b/>
        <sz val="11"/>
        <color theme="1"/>
        <rFont val="等线"/>
        <family val="2"/>
      </rPr>
      <t>插入</t>
    </r>
  </si>
  <si>
    <r>
      <rPr>
        <sz val="11"/>
        <color theme="1"/>
        <rFont val="等线"/>
        <charset val="134"/>
      </rPr>
      <t>斜率</t>
    </r>
  </si>
  <si>
    <r>
      <rPr>
        <sz val="11"/>
        <color theme="1"/>
        <rFont val="等线"/>
        <charset val="134"/>
      </rPr>
      <t>剪力</t>
    </r>
  </si>
  <si>
    <r>
      <rPr>
        <sz val="11"/>
        <color theme="1"/>
        <rFont val="等线"/>
        <charset val="134"/>
      </rPr>
      <t>力</t>
    </r>
  </si>
  <si>
    <r>
      <rPr>
        <b/>
        <sz val="11"/>
        <color theme="1"/>
        <rFont val="等线"/>
        <family val="2"/>
      </rPr>
      <t>单位</t>
    </r>
  </si>
  <si>
    <r>
      <rPr>
        <sz val="11"/>
        <color theme="1"/>
        <rFont val="等线"/>
        <charset val="134"/>
      </rPr>
      <t>米</t>
    </r>
  </si>
  <si>
    <r>
      <rPr>
        <sz val="11"/>
        <color theme="1"/>
        <rFont val="等线"/>
        <charset val="134"/>
      </rPr>
      <t>牛顿</t>
    </r>
  </si>
  <si>
    <r>
      <rPr>
        <b/>
        <sz val="11"/>
        <color theme="1"/>
        <rFont val="等线"/>
        <family val="2"/>
      </rPr>
      <t>性质</t>
    </r>
  </si>
  <si>
    <r>
      <rPr>
        <sz val="11"/>
        <color theme="1"/>
        <rFont val="等线"/>
        <family val="2"/>
      </rPr>
      <t>梁</t>
    </r>
  </si>
  <si>
    <r>
      <rPr>
        <sz val="11"/>
        <color theme="1"/>
        <rFont val="等线"/>
        <charset val="134"/>
      </rPr>
      <t>材料</t>
    </r>
  </si>
  <si>
    <r>
      <rPr>
        <b/>
        <sz val="11"/>
        <color theme="1"/>
        <rFont val="等线"/>
        <family val="2"/>
      </rPr>
      <t>其他</t>
    </r>
  </si>
  <si>
    <r>
      <rPr>
        <sz val="11"/>
        <color theme="1"/>
        <rFont val="等线"/>
        <charset val="134"/>
      </rPr>
      <t>多项式</t>
    </r>
  </si>
  <si>
    <r>
      <rPr>
        <sz val="11"/>
        <color theme="1"/>
        <rFont val="等线"/>
        <charset val="134"/>
      </rPr>
      <t>系数</t>
    </r>
  </si>
  <si>
    <r>
      <rPr>
        <sz val="11"/>
        <color theme="1"/>
        <rFont val="等线"/>
        <charset val="134"/>
      </rPr>
      <t>位置</t>
    </r>
    <phoneticPr fontId="10" type="noConversion"/>
  </si>
  <si>
    <r>
      <rPr>
        <sz val="11"/>
        <color theme="1"/>
        <rFont val="等线"/>
        <charset val="134"/>
      </rPr>
      <t>正方向</t>
    </r>
    <phoneticPr fontId="10" type="noConversion"/>
  </si>
  <si>
    <r>
      <rPr>
        <sz val="11"/>
        <color theme="1"/>
        <rFont val="等线"/>
        <family val="2"/>
      </rPr>
      <t>宽</t>
    </r>
    <r>
      <rPr>
        <sz val="11"/>
        <color theme="1"/>
        <rFont val="Calibri"/>
        <family val="2"/>
      </rPr>
      <t xml:space="preserve"> [mm]</t>
    </r>
  </si>
  <si>
    <r>
      <rPr>
        <sz val="11"/>
        <color theme="1"/>
        <rFont val="等线"/>
        <family val="2"/>
      </rPr>
      <t>厚</t>
    </r>
    <r>
      <rPr>
        <sz val="11"/>
        <color theme="1"/>
        <rFont val="Calibri"/>
        <family val="2"/>
      </rPr>
      <t xml:space="preserve"> [mm]</t>
    </r>
  </si>
  <si>
    <r>
      <t>1.</t>
    </r>
    <r>
      <rPr>
        <sz val="7"/>
        <color theme="1"/>
        <rFont val="Calibri"/>
        <family val="2"/>
      </rPr>
      <t xml:space="preserve">       </t>
    </r>
    <r>
      <rPr>
        <sz val="11"/>
        <color theme="1"/>
        <rFont val="Calibri"/>
        <family val="2"/>
      </rPr>
      <t>On the Main tab, use the Language dropdown box to choose a preferred language.</t>
    </r>
  </si>
  <si>
    <r>
      <t>I [m</t>
    </r>
    <r>
      <rPr>
        <b/>
        <vertAlign val="superscript"/>
        <sz val="11"/>
        <color theme="1"/>
        <rFont val="Calibri"/>
        <family val="2"/>
      </rPr>
      <t>4</t>
    </r>
    <r>
      <rPr>
        <b/>
        <sz val="11"/>
        <color theme="1"/>
        <rFont val="Calibri"/>
        <family val="2"/>
      </rPr>
      <t>]</t>
    </r>
  </si>
  <si>
    <r>
      <t>EI [kg · m</t>
    </r>
    <r>
      <rPr>
        <b/>
        <vertAlign val="superscript"/>
        <sz val="11"/>
        <color theme="1"/>
        <rFont val="Calibri"/>
        <family val="2"/>
      </rPr>
      <t>3</t>
    </r>
    <r>
      <rPr>
        <b/>
        <sz val="11"/>
        <color theme="1"/>
        <rFont val="Calibri"/>
        <family val="2"/>
      </rPr>
      <t xml:space="preserve"> / s</t>
    </r>
    <r>
      <rPr>
        <b/>
        <vertAlign val="superscript"/>
        <sz val="11"/>
        <color theme="1"/>
        <rFont val="Calibri"/>
        <family val="2"/>
      </rPr>
      <t>2</t>
    </r>
    <r>
      <rPr>
        <b/>
        <sz val="11"/>
        <color theme="1"/>
        <rFont val="Calibri"/>
        <family val="2"/>
      </rPr>
      <t>]</t>
    </r>
  </si>
  <si>
    <t>Positive Sign</t>
  </si>
  <si>
    <t>F</t>
    <phoneticPr fontId="10" type="noConversion"/>
  </si>
  <si>
    <t>М(x)</t>
    <phoneticPr fontId="10" type="noConversion"/>
  </si>
  <si>
    <t>En</t>
    <phoneticPr fontId="10" type="noConversion"/>
  </si>
  <si>
    <r>
      <t>A</t>
    </r>
    <r>
      <rPr>
        <sz val="11"/>
        <rFont val="Calibri"/>
        <family val="2"/>
      </rPr>
      <t>x+</t>
    </r>
    <r>
      <rPr>
        <sz val="11"/>
        <color rgb="FFFF0000"/>
        <rFont val="Calibri"/>
        <family val="2"/>
      </rPr>
      <t>B</t>
    </r>
    <phoneticPr fontId="10" type="noConversion"/>
  </si>
  <si>
    <t>Ax+B=0</t>
    <phoneticPr fontId="10" type="noConversion"/>
  </si>
  <si>
    <t>+</t>
    <phoneticPr fontId="10" type="noConversion"/>
  </si>
  <si>
    <t>语言</t>
    <phoneticPr fontId="10" type="noConversion"/>
  </si>
  <si>
    <t>输入值</t>
    <phoneticPr fontId="10" type="noConversion"/>
  </si>
  <si>
    <t>限制条件</t>
    <phoneticPr fontId="10" type="noConversion"/>
  </si>
  <si>
    <t>弯矩</t>
    <phoneticPr fontId="10" type="noConversion"/>
  </si>
  <si>
    <t>曲率</t>
    <phoneticPr fontId="10" type="noConversion"/>
  </si>
  <si>
    <t>固定端</t>
    <phoneticPr fontId="10" type="noConversion"/>
  </si>
  <si>
    <t>支座</t>
    <phoneticPr fontId="10" type="noConversion"/>
  </si>
  <si>
    <t>活动端</t>
    <phoneticPr fontId="10" type="noConversion"/>
  </si>
  <si>
    <t>无特殊限制</t>
    <phoneticPr fontId="10" type="noConversion"/>
  </si>
  <si>
    <t>力</t>
    <phoneticPr fontId="10" type="noConversion"/>
  </si>
  <si>
    <t>梁的形变工作表</t>
    <phoneticPr fontId="10" type="noConversion"/>
  </si>
  <si>
    <t>挠度</t>
    <phoneticPr fontId="10" type="noConversion"/>
  </si>
  <si>
    <r>
      <t>Solver</t>
    </r>
    <r>
      <rPr>
        <sz val="11"/>
        <color theme="1"/>
        <rFont val="Calibri"/>
        <family val="2"/>
      </rPr>
      <t xml:space="preserve"> – This tab shows how the coefficients for the three cubic polynomials that describe successive segments of the beam are calculated. The red, yellow, green and blue colours indicate associations with corresponding boundary conditions on the Main tab, while the grey colours denote associations with specific polynomials.</t>
    </r>
    <phoneticPr fontId="14" type="noConversion"/>
  </si>
  <si>
    <r>
      <t>d</t>
    </r>
    <r>
      <rPr>
        <sz val="11"/>
        <color theme="1"/>
        <rFont val="Calibri"/>
        <family val="2"/>
      </rPr>
      <t>i</t>
    </r>
    <r>
      <rPr>
        <sz val="14"/>
        <color theme="1"/>
        <rFont val="Calibri"/>
        <family val="2"/>
      </rPr>
      <t xml:space="preserve"> =</t>
    </r>
  </si>
  <si>
    <r>
      <t>d</t>
    </r>
    <r>
      <rPr>
        <sz val="11"/>
        <color theme="1"/>
        <rFont val="Calibri"/>
        <family val="2"/>
      </rPr>
      <t>f</t>
    </r>
    <r>
      <rPr>
        <sz val="14"/>
        <color theme="1"/>
        <rFont val="Calibri"/>
        <family val="2"/>
      </rPr>
      <t>=</t>
    </r>
  </si>
  <si>
    <t>Ƙ(x)</t>
  </si>
  <si>
    <t>Ƙ(x)</t>
    <phoneticPr fontId="10" type="noConversion"/>
  </si>
  <si>
    <t>Titre</t>
  </si>
  <si>
    <t>Feuille de calcul du fléchissement des poutres</t>
  </si>
  <si>
    <t>Conditions limites</t>
  </si>
  <si>
    <t>Encastrée</t>
  </si>
  <si>
    <t>Sur appuis simples</t>
  </si>
  <si>
    <t>Libre</t>
  </si>
  <si>
    <t>Aucune charge</t>
  </si>
  <si>
    <t>Charge spécifiée</t>
  </si>
  <si>
    <t>Déplacement mesuré</t>
  </si>
  <si>
    <t>Traçage</t>
  </si>
  <si>
    <t>Emplacement</t>
  </si>
  <si>
    <t>Déplacement</t>
  </si>
  <si>
    <t>Pente</t>
  </si>
  <si>
    <t>Courbure</t>
  </si>
  <si>
    <t>Moment fléchissant</t>
  </si>
  <si>
    <t>Cisaillement</t>
  </si>
  <si>
    <t>Charge</t>
  </si>
  <si>
    <t>Unités</t>
  </si>
  <si>
    <t>Mètres</t>
  </si>
  <si>
    <t>Propriétés de la poutre</t>
  </si>
  <si>
    <t>Poutre</t>
  </si>
  <si>
    <t>Matériau</t>
  </si>
  <si>
    <t>Largeur [mm]</t>
  </si>
  <si>
    <t>Épaisseur [mm]</t>
  </si>
  <si>
    <t>Autres Termes</t>
  </si>
  <si>
    <t>Signe positif</t>
  </si>
  <si>
    <t>Polynôme</t>
  </si>
  <si>
    <t>Entrée</t>
  </si>
  <si>
    <t>Langue</t>
  </si>
  <si>
    <t>French</t>
  </si>
  <si>
    <t>lexan</t>
    <phoneticPr fontId="10" type="noConversion"/>
  </si>
  <si>
    <t>lexan</t>
    <phoneticPr fontId="10" type="noConversion"/>
  </si>
  <si>
    <r>
      <t>2.</t>
    </r>
    <r>
      <rPr>
        <sz val="7"/>
        <color theme="1"/>
        <rFont val="Calibri"/>
        <family val="2"/>
      </rPr>
      <t xml:space="preserve">       </t>
    </r>
    <r>
      <rPr>
        <sz val="11"/>
        <color theme="1"/>
        <rFont val="Calibri"/>
        <family val="2"/>
      </rPr>
      <t>Pull down the four boundary condition dropdown menus individually to update their language.</t>
    </r>
  </si>
  <si>
    <r>
      <t>3.</t>
    </r>
    <r>
      <rPr>
        <sz val="7"/>
        <color theme="1"/>
        <rFont val="Calibri"/>
        <family val="2"/>
      </rPr>
      <t xml:space="preserve">       </t>
    </r>
    <r>
      <rPr>
        <sz val="11"/>
        <color theme="1"/>
        <rFont val="Calibri"/>
        <family val="2"/>
      </rPr>
      <t>Choose the boundary conditions, applied loads or specified deflections you wish to specify and the spreadsheet will automatically update all graphs.</t>
    </r>
  </si>
  <si>
    <r>
      <t xml:space="preserve">Plotting Data – </t>
    </r>
    <r>
      <rPr>
        <sz val="11"/>
        <color theme="1"/>
        <rFont val="Calibri"/>
        <family val="2"/>
      </rPr>
      <t>This table contains all data used for plotting the diagrams and it is colour-coded to match the three segments of the beam.</t>
    </r>
  </si>
  <si>
    <r>
      <t>Language</t>
    </r>
    <r>
      <rPr>
        <sz val="11"/>
        <color theme="1"/>
        <rFont val="Calibri"/>
        <family val="2"/>
      </rPr>
      <t xml:space="preserve"> – This table contains a range of language options and allows the user to specify custom options.</t>
    </r>
  </si>
  <si>
    <r>
      <t>Main</t>
    </r>
    <r>
      <rPr>
        <sz val="11"/>
        <color theme="1"/>
        <rFont val="Calibri"/>
        <family val="2"/>
      </rPr>
      <t xml:space="preserve"> – This tab allows the user to select a language for the spreadsheet and select a beam cross-section from those listed in the Properties tab. The user can then choose choose four boundary conditions, applied loads or specified deflections using the pull down menus and the input boxes immediately below them. The spreadsheet automatically generates plots of deflection, slope, shear, curvature or moment, shear and applied load for valid designs.</t>
    </r>
  </si>
  <si>
    <r>
      <t>Instructions</t>
    </r>
    <r>
      <rPr>
        <sz val="11"/>
        <color theme="1"/>
        <rFont val="Calibri"/>
        <family val="2"/>
      </rPr>
      <t xml:space="preserve"> – This tab offers instructions for using the spreadsheet and it provides supporting information.</t>
    </r>
  </si>
  <si>
    <t>Polynomial</t>
  </si>
  <si>
    <t>Título</t>
  </si>
  <si>
    <t>Hoja de calculo para flexión de vigas</t>
  </si>
  <si>
    <t>Condiciones de Borde</t>
  </si>
  <si>
    <t>Empotrada</t>
  </si>
  <si>
    <t>Simplemente apoyada</t>
  </si>
  <si>
    <t>Sin carga</t>
  </si>
  <si>
    <t>Con carga especificada</t>
  </si>
  <si>
    <t>Medida de deflección</t>
  </si>
  <si>
    <t>Graficar</t>
  </si>
  <si>
    <t>Posición</t>
  </si>
  <si>
    <t>Deflección</t>
  </si>
  <si>
    <t>Pendiente</t>
  </si>
  <si>
    <t>Curvatura</t>
  </si>
  <si>
    <t>Momento</t>
  </si>
  <si>
    <t>Cortante</t>
  </si>
  <si>
    <t>Carga</t>
  </si>
  <si>
    <t>Unidades</t>
  </si>
  <si>
    <t>Metros</t>
  </si>
  <si>
    <t>Propiedades de Viga</t>
  </si>
  <si>
    <t>Viga</t>
  </si>
  <si>
    <t>Ancho</t>
  </si>
  <si>
    <t>Espesor</t>
  </si>
  <si>
    <t>Otros términos</t>
  </si>
  <si>
    <t>Signo positivo</t>
  </si>
  <si>
    <t>polinomio</t>
  </si>
  <si>
    <t>coeficientes</t>
  </si>
  <si>
    <t>entrada de datos</t>
  </si>
  <si>
    <t>lenguaje</t>
  </si>
  <si>
    <t>w(x)</t>
    <phoneticPr fontId="10" type="noConversion"/>
  </si>
  <si>
    <t>w(x)</t>
    <phoneticPr fontId="10" type="noConversion"/>
  </si>
  <si>
    <t>Prof. G. Wayne Brodland, Prof. Rania Al-Hammoud, Ben Chung and Dan-Hui Zhao, University of Waterloo.</t>
  </si>
  <si>
    <t>Note that if the external loads on the beam are specified, the spreadsheet will calculate the resulting deflections. If, instead, the beam deflections are specified in the spreadsheet (presumably having been measured from the physical apparatus), the spreadsheet will calculate the loads required to produce those deflections (and these calculated loads should essentially match those actually acting on the physical apparatus).</t>
  </si>
  <si>
    <t>Note also, that all measurements are in metric units, except that any specified deflections are assumed to be in thousands of an inch (the units of the dial gauges we were able to purchase).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</si>
</sst>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_);[Red]\(0.000\)"/>
  </numFmts>
  <fonts count="37">
    <font>
      <sz val="11"/>
      <color theme="1"/>
      <name val="Calibri"/>
      <charset val="134"/>
      <scheme val="minor"/>
    </font>
    <font>
      <sz val="11"/>
      <color theme="1"/>
      <name val="Calibri"/>
      <family val="2"/>
      <scheme val="minor"/>
    </font>
    <font>
      <sz val="11"/>
      <color theme="1"/>
      <name val="Calibri"/>
      <family val="2"/>
    </font>
    <font>
      <b/>
      <sz val="11"/>
      <color theme="1"/>
      <name val="Calibri"/>
      <family val="2"/>
      <scheme val="minor"/>
    </font>
    <font>
      <sz val="16"/>
      <color theme="1"/>
      <name val="Calibri"/>
      <family val="2"/>
    </font>
    <font>
      <b/>
      <sz val="12"/>
      <color theme="1"/>
      <name val="Calibri"/>
      <family val="2"/>
    </font>
    <font>
      <b/>
      <sz val="11"/>
      <color theme="1"/>
      <name val="Calibri"/>
      <family val="2"/>
    </font>
    <font>
      <b/>
      <sz val="14"/>
      <color theme="1"/>
      <name val="Calibri"/>
      <family val="2"/>
    </font>
    <font>
      <sz val="8"/>
      <color theme="1"/>
      <name val="Calibri"/>
      <family val="2"/>
    </font>
    <font>
      <b/>
      <vertAlign val="superscript"/>
      <sz val="11"/>
      <color theme="1"/>
      <name val="Calibri"/>
      <family val="2"/>
    </font>
    <font>
      <sz val="9"/>
      <name val="Calibri"/>
      <family val="2"/>
      <scheme val="minor"/>
    </font>
    <font>
      <b/>
      <sz val="16"/>
      <color theme="1"/>
      <name val="Calibri"/>
      <family val="2"/>
    </font>
    <font>
      <sz val="9"/>
      <name val="Calibri"/>
      <family val="2"/>
      <scheme val="minor"/>
    </font>
    <font>
      <sz val="11"/>
      <name val="Calibri"/>
      <family val="2"/>
    </font>
    <font>
      <sz val="9"/>
      <name val="Calibri"/>
      <family val="2"/>
      <scheme val="minor"/>
    </font>
    <font>
      <sz val="11"/>
      <color rgb="FFFF0000"/>
      <name val="Calibri"/>
      <family val="2"/>
      <scheme val="minor"/>
    </font>
    <font>
      <b/>
      <sz val="11"/>
      <name val="Calibri"/>
      <family val="2"/>
      <scheme val="minor"/>
    </font>
    <font>
      <b/>
      <sz val="11"/>
      <name val="Calibri"/>
      <family val="2"/>
      <scheme val="minor"/>
    </font>
    <font>
      <b/>
      <sz val="12"/>
      <name val="Calibri"/>
      <family val="2"/>
      <scheme val="minor"/>
    </font>
    <font>
      <sz val="11"/>
      <name val="Calibri"/>
      <family val="2"/>
      <scheme val="minor"/>
    </font>
    <font>
      <sz val="14"/>
      <color theme="1"/>
      <name val="Calibri"/>
      <family val="2"/>
    </font>
    <font>
      <sz val="16"/>
      <name val="Calibri"/>
      <family val="2"/>
    </font>
    <font>
      <sz val="20"/>
      <color theme="1"/>
      <name val="Calibri"/>
      <family val="2"/>
    </font>
    <font>
      <b/>
      <sz val="20"/>
      <color theme="1"/>
      <name val="Calibri"/>
      <family val="2"/>
    </font>
    <font>
      <u/>
      <sz val="11"/>
      <color theme="10"/>
      <name val="Calibri"/>
      <family val="2"/>
      <scheme val="minor"/>
    </font>
    <font>
      <b/>
      <u/>
      <sz val="14"/>
      <color theme="1"/>
      <name val="Calibri"/>
      <family val="2"/>
    </font>
    <font>
      <b/>
      <sz val="11"/>
      <color theme="1"/>
      <name val="等线"/>
      <family val="2"/>
    </font>
    <font>
      <i/>
      <sz val="16"/>
      <name val="等线"/>
      <family val="2"/>
    </font>
    <font>
      <sz val="11"/>
      <color theme="1"/>
      <name val="等线"/>
      <charset val="134"/>
    </font>
    <font>
      <sz val="11"/>
      <color theme="1"/>
      <name val="等线"/>
      <family val="2"/>
    </font>
    <font>
      <i/>
      <sz val="11"/>
      <color theme="1"/>
      <name val="Calibri"/>
      <family val="2"/>
    </font>
    <font>
      <i/>
      <sz val="26"/>
      <color theme="1"/>
      <name val="Calibri"/>
      <family val="2"/>
    </font>
    <font>
      <i/>
      <sz val="16"/>
      <name val="Calibri"/>
      <family val="2"/>
    </font>
    <font>
      <sz val="7"/>
      <color theme="1"/>
      <name val="Calibri"/>
      <family val="2"/>
    </font>
    <font>
      <sz val="11"/>
      <color rgb="FFFF0000"/>
      <name val="Calibri"/>
      <family val="2"/>
    </font>
    <font>
      <i/>
      <sz val="12"/>
      <color theme="1"/>
      <name val="Calibri"/>
      <family val="2"/>
    </font>
    <font>
      <sz val="9"/>
      <color rgb="FF000000"/>
      <name val="宋体"/>
    </font>
  </fonts>
  <fills count="41">
    <fill>
      <patternFill patternType="none"/>
    </fill>
    <fill>
      <patternFill patternType="gray125"/>
    </fill>
    <fill>
      <patternFill patternType="solid">
        <fgColor rgb="FFF7F7F7"/>
        <bgColor indexed="64"/>
      </patternFill>
    </fill>
    <fill>
      <patternFill patternType="solid">
        <fgColor rgb="FFFFCCCC"/>
        <bgColor indexed="64"/>
      </patternFill>
    </fill>
    <fill>
      <patternFill patternType="solid">
        <fgColor rgb="FFFFE1E1"/>
        <bgColor indexed="64"/>
      </patternFill>
    </fill>
    <fill>
      <patternFill patternType="solid">
        <fgColor theme="5" tint="0.59999389629810485"/>
        <bgColor indexed="64"/>
      </patternFill>
    </fill>
    <fill>
      <patternFill patternType="solid">
        <fgColor theme="5" tint="0.79995117038483843"/>
        <bgColor indexed="64"/>
      </patternFill>
    </fill>
    <fill>
      <patternFill patternType="solid">
        <fgColor theme="7" tint="0.59999389629810485"/>
        <bgColor indexed="64"/>
      </patternFill>
    </fill>
    <fill>
      <patternFill patternType="solid">
        <fgColor theme="7" tint="0.79995117038483843"/>
        <bgColor indexed="64"/>
      </patternFill>
    </fill>
    <fill>
      <patternFill patternType="solid">
        <fgColor theme="9" tint="0.59999389629810485"/>
        <bgColor indexed="64"/>
      </patternFill>
    </fill>
    <fill>
      <patternFill patternType="solid">
        <fgColor theme="9" tint="0.79995117038483843"/>
        <bgColor indexed="64"/>
      </patternFill>
    </fill>
    <fill>
      <patternFill patternType="solid">
        <fgColor theme="4" tint="0.59999389629810485"/>
        <bgColor indexed="64"/>
      </patternFill>
    </fill>
    <fill>
      <patternFill patternType="solid">
        <fgColor theme="4" tint="0.79995117038483843"/>
        <bgColor indexed="64"/>
      </patternFill>
    </fill>
    <fill>
      <patternFill patternType="solid">
        <fgColor theme="6" tint="0.59999389629810485"/>
        <bgColor indexed="64"/>
      </patternFill>
    </fill>
    <fill>
      <patternFill patternType="solid">
        <fgColor theme="6" tint="0.7999511703848384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rgb="FFE45A5A"/>
        <bgColor indexed="64"/>
      </patternFill>
    </fill>
    <fill>
      <patternFill patternType="solid">
        <fgColor rgb="FFEC8888"/>
        <bgColor indexed="64"/>
      </patternFill>
    </fill>
    <fill>
      <patternFill patternType="solid">
        <fgColor rgb="FFF7BE1D"/>
        <bgColor indexed="64"/>
      </patternFill>
    </fill>
    <fill>
      <patternFill patternType="solid">
        <fgColor rgb="FFF8C73E"/>
        <bgColor indexed="64"/>
      </patternFill>
    </fill>
    <fill>
      <patternFill patternType="solid">
        <fgColor rgb="FFF9D161"/>
        <bgColor indexed="64"/>
      </patternFill>
    </fill>
    <fill>
      <patternFill patternType="solid">
        <fgColor rgb="FFFADD8A"/>
        <bgColor indexed="64"/>
      </patternFill>
    </fill>
    <fill>
      <patternFill patternType="solid">
        <fgColor rgb="FF818840"/>
        <bgColor indexed="64"/>
      </patternFill>
    </fill>
    <fill>
      <patternFill patternType="solid">
        <fgColor rgb="FF9FA74F"/>
        <bgColor indexed="64"/>
      </patternFill>
    </fill>
    <fill>
      <patternFill patternType="solid">
        <fgColor rgb="FFB2B96B"/>
        <bgColor indexed="64"/>
      </patternFill>
    </fill>
    <fill>
      <patternFill patternType="solid">
        <fgColor rgb="FFC2C88A"/>
        <bgColor indexed="64"/>
      </patternFill>
    </fill>
    <fill>
      <patternFill patternType="solid">
        <fgColor theme="0" tint="-4.9989318521683403E-2"/>
        <bgColor indexed="64"/>
      </patternFill>
    </fill>
    <fill>
      <patternFill patternType="solid">
        <fgColor rgb="FF1C7594"/>
        <bgColor indexed="64"/>
      </patternFill>
    </fill>
    <fill>
      <patternFill patternType="solid">
        <fgColor rgb="FF2390B7"/>
        <bgColor indexed="64"/>
      </patternFill>
    </fill>
    <fill>
      <patternFill patternType="solid">
        <fgColor rgb="FFBCBCBC"/>
        <bgColor indexed="64"/>
      </patternFill>
    </fill>
    <fill>
      <patternFill patternType="solid">
        <fgColor rgb="FFD1D1D1"/>
        <bgColor indexed="64"/>
      </patternFill>
    </fill>
    <fill>
      <patternFill patternType="solid">
        <fgColor rgb="FFDCDCDC"/>
        <bgColor indexed="64"/>
      </patternFill>
    </fill>
    <fill>
      <patternFill patternType="solid">
        <fgColor theme="6"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9DBFF"/>
        <bgColor indexed="64"/>
      </patternFill>
    </fill>
  </fills>
  <borders count="123">
    <border>
      <left/>
      <right/>
      <top/>
      <bottom/>
      <diagonal/>
    </border>
    <border>
      <left/>
      <right/>
      <top style="medium">
        <color auto="1"/>
      </top>
      <bottom style="medium">
        <color auto="1"/>
      </bottom>
      <diagonal/>
    </border>
    <border>
      <left/>
      <right/>
      <top/>
      <bottom style="medium">
        <color auto="1"/>
      </bottom>
      <diagonal/>
    </border>
    <border>
      <left/>
      <right style="thin">
        <color auto="1"/>
      </right>
      <top/>
      <bottom/>
      <diagonal/>
    </border>
    <border>
      <left style="thin">
        <color auto="1"/>
      </left>
      <right style="thin">
        <color auto="1"/>
      </right>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medium">
        <color auto="1"/>
      </top>
      <bottom/>
      <diagonal/>
    </border>
    <border>
      <left style="medium">
        <color auto="1"/>
      </left>
      <right style="thin">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medium">
        <color auto="1"/>
      </left>
      <right style="medium">
        <color auto="1"/>
      </right>
      <top/>
      <bottom/>
      <diagonal/>
    </border>
    <border>
      <left style="thin">
        <color auto="1"/>
      </left>
      <right/>
      <top/>
      <bottom/>
      <diagonal/>
    </border>
    <border>
      <left style="medium">
        <color auto="1"/>
      </left>
      <right style="medium">
        <color auto="1"/>
      </right>
      <top style="thin">
        <color auto="1"/>
      </top>
      <bottom/>
      <diagonal/>
    </border>
    <border>
      <left/>
      <right/>
      <top style="thin">
        <color auto="1"/>
      </top>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right style="medium">
        <color auto="1"/>
      </right>
      <top/>
      <bottom/>
      <diagonal/>
    </border>
    <border>
      <left/>
      <right style="medium">
        <color auto="1"/>
      </right>
      <top style="thin">
        <color auto="1"/>
      </top>
      <bottom/>
      <diagonal/>
    </border>
    <border>
      <left style="medium">
        <color auto="1"/>
      </left>
      <right/>
      <top/>
      <bottom/>
      <diagonal/>
    </border>
    <border>
      <left style="medium">
        <color auto="1"/>
      </left>
      <right/>
      <top/>
      <bottom style="medium">
        <color auto="1"/>
      </bottom>
      <diagonal/>
    </border>
    <border>
      <left/>
      <right style="thin">
        <color auto="1"/>
      </right>
      <top style="medium">
        <color auto="1"/>
      </top>
      <bottom/>
      <diagonal/>
    </border>
    <border>
      <left style="medium">
        <color auto="1"/>
      </left>
      <right style="thin">
        <color rgb="FFFFCCCC"/>
      </right>
      <top style="medium">
        <color auto="1"/>
      </top>
      <bottom style="thin">
        <color rgb="FFFFCCCC"/>
      </bottom>
      <diagonal/>
    </border>
    <border>
      <left style="thin">
        <color rgb="FFFFCCCC"/>
      </left>
      <right style="thin">
        <color auto="1"/>
      </right>
      <top style="medium">
        <color auto="1"/>
      </top>
      <bottom style="thin">
        <color rgb="FFFFCCCC"/>
      </bottom>
      <diagonal/>
    </border>
    <border>
      <left style="thin">
        <color auto="1"/>
      </left>
      <right style="thin">
        <color theme="7" tint="0.59999389629810485"/>
      </right>
      <top style="medium">
        <color auto="1"/>
      </top>
      <bottom style="thin">
        <color theme="7" tint="0.59999389629810485"/>
      </bottom>
      <diagonal/>
    </border>
    <border>
      <left style="thin">
        <color theme="7" tint="0.59999389629810485"/>
      </left>
      <right style="thin">
        <color auto="1"/>
      </right>
      <top style="medium">
        <color auto="1"/>
      </top>
      <bottom style="thin">
        <color theme="7" tint="0.59999389629810485"/>
      </bottom>
      <diagonal/>
    </border>
    <border>
      <left/>
      <right/>
      <top style="medium">
        <color auto="1"/>
      </top>
      <bottom/>
      <diagonal/>
    </border>
    <border>
      <left/>
      <right style="thin">
        <color theme="4" tint="0.59999389629810485"/>
      </right>
      <top style="medium">
        <color auto="1"/>
      </top>
      <bottom style="thin">
        <color theme="4" tint="0.59999389629810485"/>
      </bottom>
      <diagonal/>
    </border>
    <border>
      <left style="medium">
        <color auto="1"/>
      </left>
      <right style="thin">
        <color rgb="FFFFCCCC"/>
      </right>
      <top style="thin">
        <color rgb="FFFFCCCC"/>
      </top>
      <bottom/>
      <diagonal/>
    </border>
    <border>
      <left style="thin">
        <color rgb="FFFFCCCC"/>
      </left>
      <right style="thin">
        <color auto="1"/>
      </right>
      <top style="thin">
        <color rgb="FFFFCCCC"/>
      </top>
      <bottom/>
      <diagonal/>
    </border>
    <border>
      <left style="thin">
        <color auto="1"/>
      </left>
      <right style="thin">
        <color theme="7" tint="0.59999389629810485"/>
      </right>
      <top style="thin">
        <color theme="7" tint="0.59999389629810485"/>
      </top>
      <bottom/>
      <diagonal/>
    </border>
    <border>
      <left style="thin">
        <color theme="7" tint="0.59999389629810485"/>
      </left>
      <right style="thin">
        <color auto="1"/>
      </right>
      <top style="thin">
        <color theme="7" tint="0.59999389629810485"/>
      </top>
      <bottom/>
      <diagonal/>
    </border>
    <border>
      <left style="thin">
        <color auto="1"/>
      </left>
      <right style="thin">
        <color theme="4" tint="0.59999389629810485"/>
      </right>
      <top style="thin">
        <color theme="4" tint="0.59999389629810485"/>
      </top>
      <bottom/>
      <diagonal/>
    </border>
    <border>
      <left style="thin">
        <color theme="4" tint="0.59999389629810485"/>
      </left>
      <right style="medium">
        <color auto="1"/>
      </right>
      <top style="medium">
        <color auto="1"/>
      </top>
      <bottom style="thin">
        <color theme="4" tint="0.59999389629810485"/>
      </bottom>
      <diagonal/>
    </border>
    <border>
      <left style="thin">
        <color theme="4" tint="0.59999389629810485"/>
      </left>
      <right style="medium">
        <color auto="1"/>
      </right>
      <top style="thin">
        <color theme="4" tint="0.59999389629810485"/>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auto="1"/>
      </left>
      <right style="thin">
        <color auto="1"/>
      </right>
      <top style="thin">
        <color auto="1"/>
      </top>
      <bottom style="medium">
        <color auto="1"/>
      </bottom>
      <diagonal/>
    </border>
    <border>
      <left style="medium">
        <color auto="1"/>
      </left>
      <right/>
      <top style="thin">
        <color auto="1"/>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medium">
        <color indexed="64"/>
      </right>
      <top style="medium">
        <color indexed="64"/>
      </top>
      <bottom/>
      <diagonal/>
    </border>
    <border>
      <left style="medium">
        <color auto="1"/>
      </left>
      <right/>
      <top/>
      <bottom style="thin">
        <color auto="1"/>
      </bottom>
      <diagonal/>
    </border>
    <border>
      <left style="thin">
        <color indexed="64"/>
      </left>
      <right/>
      <top style="thin">
        <color indexed="64"/>
      </top>
      <bottom/>
      <diagonal/>
    </border>
    <border>
      <left style="thin">
        <color indexed="64"/>
      </left>
      <right/>
      <top style="medium">
        <color indexed="64"/>
      </top>
      <bottom/>
      <diagonal/>
    </border>
    <border>
      <left style="thin">
        <color auto="1"/>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medium">
        <color indexed="64"/>
      </left>
      <right/>
      <top style="medium">
        <color indexed="64"/>
      </top>
      <bottom style="thin">
        <color theme="2" tint="-9.9978637043366805E-2"/>
      </bottom>
      <diagonal/>
    </border>
    <border>
      <left style="medium">
        <color indexed="64"/>
      </left>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style="medium">
        <color indexed="64"/>
      </left>
      <right/>
      <top/>
      <bottom style="thin">
        <color theme="2" tint="-0.249977111117893"/>
      </bottom>
      <diagonal/>
    </border>
    <border>
      <left style="medium">
        <color indexed="64"/>
      </left>
      <right/>
      <top style="thin">
        <color theme="2" tint="-0.249977111117893"/>
      </top>
      <bottom style="thin">
        <color theme="2" tint="-0.249977111117893"/>
      </bottom>
      <diagonal/>
    </border>
    <border>
      <left style="medium">
        <color indexed="64"/>
      </left>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bottom style="thin">
        <color theme="2" tint="-0.499984740745262"/>
      </bottom>
      <diagonal/>
    </border>
    <border>
      <left style="medium">
        <color indexed="64"/>
      </left>
      <right/>
      <top style="thin">
        <color theme="2" tint="-0.499984740745262"/>
      </top>
      <bottom style="thin">
        <color theme="2" tint="-0.499984740745262"/>
      </bottom>
      <diagonal/>
    </border>
    <border>
      <left style="medium">
        <color indexed="64"/>
      </left>
      <right/>
      <top style="thin">
        <color theme="2" tint="-0.499984740745262"/>
      </top>
      <bottom style="medium">
        <color indexed="64"/>
      </bottom>
      <diagonal/>
    </border>
    <border>
      <left style="thin">
        <color theme="2" tint="-0.499984740745262"/>
      </left>
      <right style="thin">
        <color theme="2" tint="-0.499984740745262"/>
      </right>
      <top/>
      <bottom style="thin">
        <color theme="2" tint="-0.499984740745262"/>
      </bottom>
      <diagonal/>
    </border>
    <border>
      <left style="thin">
        <color theme="2" tint="-0.249977111117893"/>
      </left>
      <right style="thin">
        <color theme="2" tint="-0.249977111117893"/>
      </right>
      <top/>
      <bottom style="thin">
        <color theme="2" tint="-0.249977111117893"/>
      </bottom>
      <diagonal/>
    </border>
    <border>
      <left style="thin">
        <color theme="2" tint="-9.9978637043366805E-2"/>
      </left>
      <right style="thin">
        <color theme="2" tint="-9.9978637043366805E-2"/>
      </right>
      <top style="thin">
        <color theme="2" tint="-9.9978637043366805E-2"/>
      </top>
      <bottom style="medium">
        <color indexed="64"/>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9.9978637043366805E-2"/>
      </left>
      <right style="thin">
        <color theme="2" tint="-9.9978637043366805E-2"/>
      </right>
      <top style="medium">
        <color indexed="64"/>
      </top>
      <bottom style="thin">
        <color theme="2" tint="-9.9978637043366805E-2"/>
      </bottom>
      <diagonal/>
    </border>
    <border>
      <left style="thin">
        <color theme="2" tint="-9.9978637043366805E-2"/>
      </left>
      <right style="medium">
        <color indexed="64"/>
      </right>
      <top style="medium">
        <color indexed="64"/>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medium">
        <color indexed="64"/>
      </bottom>
      <diagonal/>
    </border>
    <border>
      <left style="thin">
        <color theme="2" tint="-0.249977111117893"/>
      </left>
      <right style="medium">
        <color indexed="64"/>
      </right>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medium">
        <color indexed="64"/>
      </bottom>
      <diagonal/>
    </border>
    <border>
      <left style="thin">
        <color theme="2" tint="-0.499984740745262"/>
      </left>
      <right style="medium">
        <color indexed="64"/>
      </right>
      <top/>
      <bottom style="thin">
        <color theme="2" tint="-0.499984740745262"/>
      </bottom>
      <diagonal/>
    </border>
    <border>
      <left style="thin">
        <color theme="2" tint="-0.499984740745262"/>
      </left>
      <right style="medium">
        <color indexed="64"/>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indexed="64"/>
      </bottom>
      <diagonal/>
    </border>
    <border>
      <left style="thin">
        <color theme="2" tint="-0.499984740745262"/>
      </left>
      <right style="medium">
        <color indexed="64"/>
      </right>
      <top style="thin">
        <color theme="2" tint="-0.499984740745262"/>
      </top>
      <bottom style="medium">
        <color indexed="64"/>
      </bottom>
      <diagonal/>
    </border>
    <border>
      <left style="medium">
        <color indexed="64"/>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medium">
        <color auto="1"/>
      </left>
      <right style="thin">
        <color auto="1"/>
      </right>
      <top/>
      <bottom/>
      <diagonal/>
    </border>
    <border>
      <left style="thin">
        <color indexed="64"/>
      </left>
      <right style="medium">
        <color indexed="64"/>
      </right>
      <top/>
      <bottom/>
      <diagonal/>
    </border>
    <border>
      <left/>
      <right/>
      <top style="thin">
        <color indexed="64"/>
      </top>
      <bottom style="medium">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24" fillId="0" borderId="0" applyNumberFormat="0" applyFill="0" applyBorder="0" applyAlignment="0" applyProtection="0"/>
  </cellStyleXfs>
  <cellXfs count="521">
    <xf numFmtId="0" fontId="0" fillId="0" borderId="0" xfId="0"/>
    <xf numFmtId="0" fontId="2" fillId="8" borderId="0" xfId="0" applyFont="1" applyFill="1" applyAlignment="1">
      <alignment horizontal="center" vertical="center"/>
    </xf>
    <xf numFmtId="0" fontId="3" fillId="0" borderId="0" xfId="0" applyFont="1" applyAlignment="1">
      <alignment horizontal="center" vertical="center"/>
    </xf>
    <xf numFmtId="0" fontId="4" fillId="0" borderId="0" xfId="0" applyFont="1"/>
    <xf numFmtId="0" fontId="2" fillId="0" borderId="0" xfId="0" applyFont="1"/>
    <xf numFmtId="0" fontId="2" fillId="0" borderId="0" xfId="0" applyFont="1" applyBorder="1"/>
    <xf numFmtId="0" fontId="2" fillId="0" borderId="28" xfId="0" applyFont="1" applyBorder="1"/>
    <xf numFmtId="0" fontId="2" fillId="0" borderId="0" xfId="0" applyFont="1" applyFill="1"/>
    <xf numFmtId="0" fontId="6" fillId="2" borderId="7" xfId="0" applyFont="1" applyFill="1" applyBorder="1" applyAlignment="1">
      <alignment horizontal="center"/>
    </xf>
    <xf numFmtId="0" fontId="7" fillId="0" borderId="0" xfId="0" applyFont="1"/>
    <xf numFmtId="0" fontId="4" fillId="0" borderId="0" xfId="0" applyFont="1" applyAlignment="1">
      <alignment horizontal="center" vertical="center"/>
    </xf>
    <xf numFmtId="0" fontId="2" fillId="0" borderId="37" xfId="0" applyFont="1" applyBorder="1"/>
    <xf numFmtId="0" fontId="2" fillId="0" borderId="12" xfId="0" applyFont="1" applyBorder="1"/>
    <xf numFmtId="0" fontId="0" fillId="0" borderId="53"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2" fillId="8" borderId="2" xfId="0" applyFont="1" applyFill="1" applyBorder="1" applyAlignment="1">
      <alignment horizontal="center" vertical="center"/>
    </xf>
    <xf numFmtId="0" fontId="2" fillId="8" borderId="0" xfId="0" applyFont="1" applyFill="1" applyBorder="1" applyAlignment="1">
      <alignment horizontal="center" vertical="center"/>
    </xf>
    <xf numFmtId="0" fontId="0" fillId="0" borderId="56" xfId="0" applyBorder="1"/>
    <xf numFmtId="0" fontId="0" fillId="0" borderId="58" xfId="0" applyBorder="1"/>
    <xf numFmtId="0" fontId="0" fillId="0" borderId="60" xfId="0" applyBorder="1"/>
    <xf numFmtId="0" fontId="0" fillId="0" borderId="14" xfId="0" applyBorder="1"/>
    <xf numFmtId="0" fontId="0" fillId="0" borderId="61" xfId="0" applyBorder="1" applyAlignment="1">
      <alignment horizontal="center"/>
    </xf>
    <xf numFmtId="0" fontId="0" fillId="0" borderId="7" xfId="0" applyBorder="1" applyAlignment="1">
      <alignment horizontal="center"/>
    </xf>
    <xf numFmtId="0" fontId="0" fillId="0" borderId="62" xfId="0" applyBorder="1" applyAlignment="1">
      <alignment horizontal="center"/>
    </xf>
    <xf numFmtId="0" fontId="0" fillId="0" borderId="48" xfId="0" applyFill="1" applyBorder="1" applyAlignment="1">
      <alignment horizontal="center"/>
    </xf>
    <xf numFmtId="0" fontId="0" fillId="0" borderId="0" xfId="0" applyAlignment="1">
      <alignment horizontal="center" vertical="center"/>
    </xf>
    <xf numFmtId="0" fontId="0" fillId="0" borderId="61" xfId="0" applyBorder="1" applyAlignment="1">
      <alignment horizontal="center" vertical="center"/>
    </xf>
    <xf numFmtId="0" fontId="0" fillId="0" borderId="7" xfId="0" applyBorder="1" applyAlignment="1">
      <alignment horizontal="center" vertical="center"/>
    </xf>
    <xf numFmtId="0" fontId="0" fillId="0" borderId="62" xfId="0" applyBorder="1" applyAlignment="1">
      <alignment horizontal="center" vertical="center"/>
    </xf>
    <xf numFmtId="0" fontId="0" fillId="0" borderId="46" xfId="0" applyBorder="1" applyAlignment="1">
      <alignment horizontal="center" vertical="center"/>
    </xf>
    <xf numFmtId="0" fontId="0" fillId="0" borderId="63" xfId="0" applyBorder="1" applyAlignment="1">
      <alignment horizontal="center" vertical="center"/>
    </xf>
    <xf numFmtId="0" fontId="0" fillId="0" borderId="47" xfId="0" applyBorder="1" applyAlignment="1">
      <alignment horizontal="center" vertical="center"/>
    </xf>
    <xf numFmtId="0" fontId="0" fillId="0" borderId="64" xfId="0" applyBorder="1" applyAlignment="1">
      <alignment horizontal="center" vertical="center"/>
    </xf>
    <xf numFmtId="0" fontId="0" fillId="0" borderId="48" xfId="0" applyBorder="1" applyAlignment="1">
      <alignment horizontal="center" vertical="center"/>
    </xf>
    <xf numFmtId="0" fontId="0" fillId="0" borderId="65" xfId="0" applyBorder="1" applyAlignment="1">
      <alignment horizontal="center" vertical="center"/>
    </xf>
    <xf numFmtId="0" fontId="0" fillId="0" borderId="48" xfId="0" applyFill="1" applyBorder="1" applyAlignment="1">
      <alignment horizontal="center" vertical="center"/>
    </xf>
    <xf numFmtId="0" fontId="0" fillId="0" borderId="0" xfId="0" applyBorder="1" applyAlignment="1">
      <alignment horizontal="center" vertical="center"/>
    </xf>
    <xf numFmtId="0" fontId="0" fillId="0" borderId="0" xfId="0" applyFill="1" applyBorder="1" applyAlignment="1">
      <alignment horizontal="center" vertical="center"/>
    </xf>
    <xf numFmtId="0" fontId="0" fillId="0" borderId="62" xfId="0" applyFill="1" applyBorder="1" applyAlignment="1">
      <alignment horizontal="center" vertical="center"/>
    </xf>
    <xf numFmtId="0" fontId="0" fillId="0" borderId="30" xfId="0" applyBorder="1" applyAlignment="1">
      <alignment horizontal="center" vertical="center"/>
    </xf>
    <xf numFmtId="0" fontId="0" fillId="0" borderId="14" xfId="0" applyBorder="1" applyAlignment="1">
      <alignment horizontal="center" vertical="center"/>
    </xf>
    <xf numFmtId="0" fontId="0" fillId="0" borderId="26" xfId="0" applyBorder="1" applyAlignment="1">
      <alignment horizontal="center"/>
    </xf>
    <xf numFmtId="0" fontId="0" fillId="0" borderId="6" xfId="0" applyBorder="1" applyAlignment="1">
      <alignment horizontal="center"/>
    </xf>
    <xf numFmtId="0" fontId="0" fillId="0" borderId="15" xfId="0" applyFill="1" applyBorder="1"/>
    <xf numFmtId="0" fontId="0" fillId="18" borderId="19" xfId="0" applyFill="1" applyBorder="1" applyAlignment="1">
      <alignment horizontal="center"/>
    </xf>
    <xf numFmtId="0" fontId="0" fillId="18" borderId="66" xfId="0" applyFill="1" applyBorder="1" applyAlignment="1">
      <alignment horizontal="center"/>
    </xf>
    <xf numFmtId="0" fontId="0" fillId="19" borderId="67" xfId="0" applyFill="1" applyBorder="1" applyAlignment="1">
      <alignment horizontal="center"/>
    </xf>
    <xf numFmtId="0" fontId="0" fillId="19" borderId="66" xfId="0" applyFill="1" applyBorder="1" applyAlignment="1">
      <alignment horizontal="center"/>
    </xf>
    <xf numFmtId="0" fontId="0" fillId="19" borderId="68" xfId="0" applyFill="1" applyBorder="1" applyAlignment="1">
      <alignment horizontal="center"/>
    </xf>
    <xf numFmtId="0" fontId="0" fillId="19" borderId="19" xfId="0" applyFill="1" applyBorder="1" applyAlignment="1">
      <alignment horizontal="center"/>
    </xf>
    <xf numFmtId="0" fontId="0" fillId="19" borderId="27" xfId="0" applyFill="1" applyBorder="1" applyAlignment="1">
      <alignment horizontal="center"/>
    </xf>
    <xf numFmtId="0" fontId="0" fillId="0" borderId="17" xfId="0" applyFill="1" applyBorder="1" applyAlignment="1">
      <alignment horizontal="center"/>
    </xf>
    <xf numFmtId="0" fontId="0" fillId="18" borderId="8" xfId="0" applyFill="1" applyBorder="1" applyAlignment="1">
      <alignment horizontal="center"/>
    </xf>
    <xf numFmtId="0" fontId="0" fillId="18" borderId="9" xfId="0" applyFill="1" applyBorder="1" applyAlignment="1">
      <alignment horizontal="center"/>
    </xf>
    <xf numFmtId="0" fontId="0" fillId="18" borderId="14" xfId="0" applyFill="1" applyBorder="1" applyAlignment="1">
      <alignment horizontal="center"/>
    </xf>
    <xf numFmtId="0" fontId="0" fillId="19" borderId="9" xfId="0" applyFill="1" applyBorder="1" applyAlignment="1">
      <alignment horizontal="center"/>
    </xf>
    <xf numFmtId="0" fontId="0" fillId="19" borderId="8" xfId="0" applyFill="1" applyBorder="1" applyAlignment="1">
      <alignment horizontal="center"/>
    </xf>
    <xf numFmtId="0" fontId="0" fillId="19" borderId="14" xfId="0" applyFill="1" applyBorder="1" applyAlignment="1">
      <alignment horizontal="center"/>
    </xf>
    <xf numFmtId="0" fontId="0" fillId="0" borderId="25" xfId="0" applyFill="1" applyBorder="1" applyAlignment="1">
      <alignment horizontal="center"/>
    </xf>
    <xf numFmtId="0" fontId="0" fillId="0" borderId="68" xfId="0" applyBorder="1"/>
    <xf numFmtId="0" fontId="0" fillId="18" borderId="64" xfId="0" applyFill="1" applyBorder="1" applyAlignment="1">
      <alignment horizontal="center"/>
    </xf>
    <xf numFmtId="0" fontId="0" fillId="18" borderId="57" xfId="0" applyFill="1" applyBorder="1" applyAlignment="1">
      <alignment horizontal="center"/>
    </xf>
    <xf numFmtId="0" fontId="0" fillId="19" borderId="64" xfId="0" applyFill="1" applyBorder="1" applyAlignment="1">
      <alignment horizontal="center"/>
    </xf>
    <xf numFmtId="0" fontId="0" fillId="19" borderId="53" xfId="0" applyFill="1" applyBorder="1" applyAlignment="1">
      <alignment horizontal="center"/>
    </xf>
    <xf numFmtId="0" fontId="0" fillId="19" borderId="70" xfId="0" applyFill="1" applyBorder="1" applyAlignment="1">
      <alignment horizontal="center"/>
    </xf>
    <xf numFmtId="0" fontId="0" fillId="0" borderId="47" xfId="0" applyFill="1" applyBorder="1" applyAlignment="1">
      <alignment horizontal="center"/>
    </xf>
    <xf numFmtId="0" fontId="0" fillId="19" borderId="50" xfId="0" applyFill="1" applyBorder="1" applyAlignment="1">
      <alignment horizontal="center"/>
    </xf>
    <xf numFmtId="0" fontId="0" fillId="19" borderId="65" xfId="0" applyFill="1" applyBorder="1" applyAlignment="1">
      <alignment horizontal="center"/>
    </xf>
    <xf numFmtId="0" fontId="0" fillId="19" borderId="59" xfId="0" applyFill="1" applyBorder="1" applyAlignment="1">
      <alignment horizontal="center"/>
    </xf>
    <xf numFmtId="0" fontId="0" fillId="19" borderId="71" xfId="0" applyFill="1" applyBorder="1" applyAlignment="1">
      <alignment horizontal="center"/>
    </xf>
    <xf numFmtId="0" fontId="0" fillId="19" borderId="63" xfId="0" applyFill="1" applyBorder="1" applyAlignment="1">
      <alignment horizontal="center"/>
    </xf>
    <xf numFmtId="0" fontId="0" fillId="19" borderId="55" xfId="0" applyFill="1" applyBorder="1" applyAlignment="1">
      <alignment horizontal="center"/>
    </xf>
    <xf numFmtId="0" fontId="0" fillId="18" borderId="50" xfId="0" applyFill="1" applyBorder="1" applyAlignment="1">
      <alignment horizontal="center"/>
    </xf>
    <xf numFmtId="0" fontId="0" fillId="18" borderId="59" xfId="0" applyFill="1" applyBorder="1" applyAlignment="1">
      <alignment horizontal="center"/>
    </xf>
    <xf numFmtId="0" fontId="0" fillId="18" borderId="65" xfId="0" applyFill="1" applyBorder="1" applyAlignment="1">
      <alignment horizontal="center"/>
    </xf>
    <xf numFmtId="0" fontId="0" fillId="18" borderId="71" xfId="0" applyFill="1" applyBorder="1" applyAlignment="1">
      <alignment horizontal="center"/>
    </xf>
    <xf numFmtId="0" fontId="0" fillId="19" borderId="72" xfId="0" applyFill="1" applyBorder="1" applyAlignment="1">
      <alignment horizontal="center"/>
    </xf>
    <xf numFmtId="0" fontId="0" fillId="18" borderId="63" xfId="0" applyFill="1" applyBorder="1" applyAlignment="1">
      <alignment horizontal="center"/>
    </xf>
    <xf numFmtId="0" fontId="0" fillId="0" borderId="46" xfId="0" applyFill="1" applyBorder="1" applyAlignment="1">
      <alignment horizontal="center"/>
    </xf>
    <xf numFmtId="0" fontId="0" fillId="19" borderId="60" xfId="0" applyFill="1" applyBorder="1" applyAlignment="1">
      <alignment horizontal="center"/>
    </xf>
    <xf numFmtId="0" fontId="1" fillId="0" borderId="58" xfId="0" applyFont="1" applyBorder="1" applyAlignment="1">
      <alignment horizontal="right"/>
    </xf>
    <xf numFmtId="0" fontId="2" fillId="20" borderId="0" xfId="0" applyFont="1" applyFill="1"/>
    <xf numFmtId="0" fontId="0" fillId="0" borderId="0" xfId="0" applyAlignment="1">
      <alignment horizontal="center"/>
    </xf>
    <xf numFmtId="0" fontId="0" fillId="0" borderId="0" xfId="0" applyFill="1" applyBorder="1"/>
    <xf numFmtId="0" fontId="0" fillId="0" borderId="0" xfId="0" applyNumberFormat="1" applyAlignment="1">
      <alignment horizontal="center"/>
    </xf>
    <xf numFmtId="0" fontId="7" fillId="0" borderId="0" xfId="0" applyFont="1" applyBorder="1" applyAlignment="1"/>
    <xf numFmtId="0" fontId="2" fillId="0" borderId="0" xfId="0" applyFont="1" applyBorder="1" applyAlignment="1"/>
    <xf numFmtId="0" fontId="8" fillId="0" borderId="0" xfId="0" applyFont="1"/>
    <xf numFmtId="0" fontId="6" fillId="0" borderId="0" xfId="0" applyFont="1" applyAlignment="1"/>
    <xf numFmtId="0" fontId="2" fillId="0" borderId="0" xfId="0" applyFont="1" applyFill="1" applyBorder="1"/>
    <xf numFmtId="0" fontId="2" fillId="0" borderId="53" xfId="0" applyFont="1" applyFill="1" applyBorder="1" applyAlignment="1">
      <alignment horizontal="center"/>
    </xf>
    <xf numFmtId="0" fontId="2" fillId="0" borderId="57" xfId="0" applyFont="1" applyFill="1" applyBorder="1"/>
    <xf numFmtId="0" fontId="2" fillId="0" borderId="58" xfId="0" applyFont="1" applyFill="1" applyBorder="1" applyAlignment="1">
      <alignment horizontal="center"/>
    </xf>
    <xf numFmtId="0" fontId="2" fillId="0" borderId="50" xfId="0" applyFont="1" applyFill="1" applyBorder="1"/>
    <xf numFmtId="0" fontId="2" fillId="0" borderId="59" xfId="0" applyFont="1" applyFill="1" applyBorder="1" applyAlignment="1">
      <alignment horizontal="center"/>
    </xf>
    <xf numFmtId="0" fontId="2" fillId="0" borderId="60" xfId="0" applyFont="1" applyFill="1" applyBorder="1" applyAlignment="1">
      <alignment horizontal="center"/>
    </xf>
    <xf numFmtId="0" fontId="2" fillId="0" borderId="67" xfId="0" applyFont="1" applyFill="1" applyBorder="1"/>
    <xf numFmtId="0" fontId="2" fillId="0" borderId="66" xfId="0" applyFont="1" applyFill="1" applyBorder="1" applyAlignment="1">
      <alignment horizontal="center"/>
    </xf>
    <xf numFmtId="0" fontId="2" fillId="0" borderId="68" xfId="0" applyFont="1" applyFill="1" applyBorder="1" applyAlignment="1">
      <alignment horizontal="center"/>
    </xf>
    <xf numFmtId="0" fontId="6" fillId="2" borderId="61" xfId="0" applyFont="1" applyFill="1" applyBorder="1" applyAlignment="1">
      <alignment horizontal="center"/>
    </xf>
    <xf numFmtId="0" fontId="6" fillId="2" borderId="62" xfId="0" applyFont="1" applyFill="1" applyBorder="1" applyAlignment="1">
      <alignment horizontal="center"/>
    </xf>
    <xf numFmtId="0" fontId="0" fillId="0" borderId="0" xfId="0" applyBorder="1"/>
    <xf numFmtId="0" fontId="15" fillId="0" borderId="0" xfId="0" applyFont="1"/>
    <xf numFmtId="0" fontId="0" fillId="0" borderId="0" xfId="0" applyNumberFormat="1" applyBorder="1" applyAlignment="1">
      <alignment horizontal="center"/>
    </xf>
    <xf numFmtId="0" fontId="0" fillId="0" borderId="0" xfId="0" applyNumberFormat="1" applyFill="1" applyBorder="1" applyAlignment="1">
      <alignment horizontal="center"/>
    </xf>
    <xf numFmtId="0" fontId="19" fillId="0" borderId="57" xfId="0" applyNumberFormat="1" applyFont="1" applyFill="1" applyBorder="1" applyAlignment="1">
      <alignment horizontal="center"/>
    </xf>
    <xf numFmtId="0" fontId="19" fillId="0" borderId="53" xfId="0" applyNumberFormat="1" applyFont="1" applyFill="1" applyBorder="1" applyAlignment="1">
      <alignment horizontal="center"/>
    </xf>
    <xf numFmtId="0" fontId="19" fillId="0" borderId="58" xfId="0" applyNumberFormat="1" applyFont="1" applyFill="1" applyBorder="1" applyAlignment="1">
      <alignment horizontal="center"/>
    </xf>
    <xf numFmtId="0" fontId="19" fillId="0" borderId="57" xfId="0" applyFont="1" applyFill="1" applyBorder="1" applyAlignment="1">
      <alignment horizontal="center"/>
    </xf>
    <xf numFmtId="0" fontId="19" fillId="0" borderId="50" xfId="0" applyNumberFormat="1" applyFont="1" applyFill="1" applyBorder="1" applyAlignment="1">
      <alignment horizontal="center"/>
    </xf>
    <xf numFmtId="0" fontId="19" fillId="0" borderId="59" xfId="0" applyNumberFormat="1" applyFont="1" applyFill="1" applyBorder="1" applyAlignment="1">
      <alignment horizontal="center"/>
    </xf>
    <xf numFmtId="0" fontId="19" fillId="0" borderId="60" xfId="0" applyNumberFormat="1" applyFont="1" applyFill="1" applyBorder="1" applyAlignment="1">
      <alignment horizontal="center"/>
    </xf>
    <xf numFmtId="0" fontId="19" fillId="0" borderId="67" xfId="0" applyNumberFormat="1" applyFont="1" applyFill="1" applyBorder="1" applyAlignment="1">
      <alignment horizontal="center"/>
    </xf>
    <xf numFmtId="0" fontId="19" fillId="0" borderId="66" xfId="0" applyNumberFormat="1" applyFont="1" applyFill="1" applyBorder="1" applyAlignment="1">
      <alignment horizontal="center"/>
    </xf>
    <xf numFmtId="0" fontId="19" fillId="0" borderId="68" xfId="0" applyNumberFormat="1" applyFont="1" applyFill="1" applyBorder="1" applyAlignment="1">
      <alignment horizontal="center"/>
    </xf>
    <xf numFmtId="0" fontId="18" fillId="0" borderId="13" xfId="0" applyNumberFormat="1" applyFont="1" applyFill="1" applyBorder="1" applyAlignment="1">
      <alignment horizontal="center"/>
    </xf>
    <xf numFmtId="0" fontId="18" fillId="0" borderId="9" xfId="0" applyNumberFormat="1" applyFont="1" applyFill="1" applyBorder="1" applyAlignment="1">
      <alignment horizontal="center"/>
    </xf>
    <xf numFmtId="0" fontId="18" fillId="0" borderId="69" xfId="0" applyNumberFormat="1" applyFont="1" applyFill="1" applyBorder="1" applyAlignment="1">
      <alignment horizontal="center"/>
    </xf>
    <xf numFmtId="0" fontId="16" fillId="0" borderId="10" xfId="0" applyNumberFormat="1" applyFont="1" applyFill="1" applyBorder="1" applyAlignment="1">
      <alignment horizontal="center" vertical="center"/>
    </xf>
    <xf numFmtId="0" fontId="17" fillId="0" borderId="11" xfId="0" applyNumberFormat="1" applyFont="1" applyFill="1" applyBorder="1" applyAlignment="1">
      <alignment horizontal="center" vertical="center"/>
    </xf>
    <xf numFmtId="0" fontId="17" fillId="0" borderId="74" xfId="0" applyNumberFormat="1" applyFont="1" applyFill="1" applyBorder="1" applyAlignment="1">
      <alignment horizontal="center" vertical="center"/>
    </xf>
    <xf numFmtId="0" fontId="2" fillId="0" borderId="0" xfId="0" applyFont="1" applyAlignment="1">
      <alignment horizontal="center"/>
    </xf>
    <xf numFmtId="0" fontId="2" fillId="0" borderId="0" xfId="0" applyNumberFormat="1" applyFont="1" applyFill="1" applyBorder="1" applyAlignment="1">
      <alignment horizontal="center"/>
    </xf>
    <xf numFmtId="0" fontId="20" fillId="0" borderId="0" xfId="0" applyFont="1"/>
    <xf numFmtId="0" fontId="4" fillId="0" borderId="0" xfId="0" applyFont="1" applyAlignment="1">
      <alignment horizontal="center"/>
    </xf>
    <xf numFmtId="0" fontId="4" fillId="21" borderId="79" xfId="0" applyFont="1" applyFill="1" applyBorder="1" applyAlignment="1">
      <alignment horizontal="center" vertical="center"/>
    </xf>
    <xf numFmtId="0" fontId="4" fillId="22" borderId="17" xfId="0" applyFont="1" applyFill="1" applyBorder="1" applyAlignment="1">
      <alignment horizontal="center" vertical="center"/>
    </xf>
    <xf numFmtId="0" fontId="4" fillId="23" borderId="23" xfId="0" applyFont="1" applyFill="1" applyBorder="1" applyAlignment="1">
      <alignment horizontal="center" vertical="center"/>
    </xf>
    <xf numFmtId="0" fontId="4" fillId="24" borderId="21" xfId="0" applyFont="1" applyFill="1" applyBorder="1" applyAlignment="1">
      <alignment horizontal="center" vertical="center"/>
    </xf>
    <xf numFmtId="0" fontId="4" fillId="25" borderId="21" xfId="0" applyFont="1" applyFill="1" applyBorder="1" applyAlignment="1">
      <alignment horizontal="center" vertical="center"/>
    </xf>
    <xf numFmtId="0" fontId="4" fillId="26" borderId="17" xfId="0" applyFont="1" applyFill="1" applyBorder="1" applyAlignment="1">
      <alignment horizontal="center" vertical="center"/>
    </xf>
    <xf numFmtId="0" fontId="4" fillId="27" borderId="23" xfId="0" applyFont="1" applyFill="1" applyBorder="1" applyAlignment="1">
      <alignment horizontal="center" vertical="center"/>
    </xf>
    <xf numFmtId="0" fontId="4" fillId="28" borderId="21" xfId="0" applyFont="1" applyFill="1" applyBorder="1" applyAlignment="1">
      <alignment horizontal="center" vertical="center"/>
    </xf>
    <xf numFmtId="0" fontId="4" fillId="29" borderId="21" xfId="0" applyFont="1" applyFill="1" applyBorder="1" applyAlignment="1">
      <alignment horizontal="center" vertical="center"/>
    </xf>
    <xf numFmtId="0" fontId="4" fillId="30" borderId="17" xfId="0" applyFont="1" applyFill="1" applyBorder="1" applyAlignment="1">
      <alignment horizontal="center" vertical="center"/>
    </xf>
    <xf numFmtId="0" fontId="4" fillId="32" borderId="23" xfId="0" applyFont="1" applyFill="1" applyBorder="1" applyAlignment="1">
      <alignment horizontal="center" vertical="center"/>
    </xf>
    <xf numFmtId="0" fontId="21" fillId="33" borderId="25" xfId="0" applyFont="1" applyFill="1" applyBorder="1" applyAlignment="1">
      <alignment horizontal="center" vertical="center"/>
    </xf>
    <xf numFmtId="0" fontId="4" fillId="21" borderId="49" xfId="0" applyFont="1" applyFill="1" applyBorder="1" applyAlignment="1">
      <alignment horizontal="center" vertical="center"/>
    </xf>
    <xf numFmtId="0" fontId="4" fillId="21" borderId="37" xfId="0" applyFont="1" applyFill="1" applyBorder="1" applyAlignment="1">
      <alignment horizontal="center" vertical="center"/>
    </xf>
    <xf numFmtId="0" fontId="4" fillId="21" borderId="32" xfId="0" applyFont="1" applyFill="1" applyBorder="1" applyAlignment="1">
      <alignment horizontal="center" vertical="center"/>
    </xf>
    <xf numFmtId="0" fontId="4" fillId="31" borderId="77" xfId="0" applyFont="1" applyFill="1" applyBorder="1" applyAlignment="1">
      <alignment horizontal="center" vertical="center"/>
    </xf>
    <xf numFmtId="0" fontId="4" fillId="31" borderId="37" xfId="0" applyFont="1" applyFill="1" applyBorder="1" applyAlignment="1">
      <alignment horizontal="center" vertical="center"/>
    </xf>
    <xf numFmtId="0" fontId="4" fillId="31" borderId="32" xfId="0" applyFont="1" applyFill="1" applyBorder="1" applyAlignment="1">
      <alignment horizontal="center" vertical="center"/>
    </xf>
    <xf numFmtId="0" fontId="4" fillId="31" borderId="12" xfId="0" applyFont="1" applyFill="1" applyBorder="1" applyAlignment="1">
      <alignment horizontal="center" vertical="center"/>
    </xf>
    <xf numFmtId="0" fontId="4" fillId="0" borderId="0" xfId="0" applyFont="1" applyFill="1" applyAlignment="1">
      <alignment horizontal="center" vertical="center"/>
    </xf>
    <xf numFmtId="0" fontId="4" fillId="22" borderId="75" xfId="0" applyFont="1" applyFill="1" applyBorder="1" applyAlignment="1">
      <alignment horizontal="center" vertical="center"/>
    </xf>
    <xf numFmtId="0" fontId="4" fillId="22" borderId="18" xfId="0" applyFont="1" applyFill="1" applyBorder="1" applyAlignment="1">
      <alignment horizontal="center" vertical="center"/>
    </xf>
    <xf numFmtId="0" fontId="4" fillId="22" borderId="19" xfId="0" applyFont="1" applyFill="1" applyBorder="1" applyAlignment="1">
      <alignment horizontal="center" vertical="center"/>
    </xf>
    <xf numFmtId="0" fontId="4" fillId="31" borderId="20" xfId="0" applyFont="1" applyFill="1" applyBorder="1" applyAlignment="1">
      <alignment horizontal="center" vertical="center"/>
    </xf>
    <xf numFmtId="0" fontId="4" fillId="31" borderId="18" xfId="0" applyFont="1" applyFill="1" applyBorder="1" applyAlignment="1">
      <alignment horizontal="center" vertical="center"/>
    </xf>
    <xf numFmtId="0" fontId="4" fillId="31" borderId="19" xfId="0" applyFont="1" applyFill="1" applyBorder="1" applyAlignment="1">
      <alignment horizontal="center" vertical="center"/>
    </xf>
    <xf numFmtId="0" fontId="4" fillId="31" borderId="27" xfId="0" applyFont="1" applyFill="1" applyBorder="1" applyAlignment="1">
      <alignment horizontal="center" vertical="center"/>
    </xf>
    <xf numFmtId="0" fontId="4" fillId="23" borderId="51" xfId="0" applyFont="1" applyFill="1" applyBorder="1" applyAlignment="1">
      <alignment horizontal="center" vertical="center"/>
    </xf>
    <xf numFmtId="0" fontId="4" fillId="23" borderId="24" xfId="0" applyFont="1" applyFill="1" applyBorder="1" applyAlignment="1">
      <alignment horizontal="center" vertical="center"/>
    </xf>
    <xf numFmtId="0" fontId="4" fillId="23" borderId="52" xfId="0" applyFont="1" applyFill="1" applyBorder="1" applyAlignment="1">
      <alignment horizontal="center" vertical="center"/>
    </xf>
    <xf numFmtId="0" fontId="4" fillId="23" borderId="76" xfId="0" applyFont="1" applyFill="1" applyBorder="1" applyAlignment="1">
      <alignment horizontal="center" vertical="center"/>
    </xf>
    <xf numFmtId="0" fontId="4" fillId="31" borderId="0" xfId="0" applyFont="1" applyFill="1" applyBorder="1" applyAlignment="1">
      <alignment horizontal="center" vertical="center"/>
    </xf>
    <xf numFmtId="0" fontId="4" fillId="31" borderId="28" xfId="0" applyFont="1" applyFill="1" applyBorder="1" applyAlignment="1">
      <alignment horizontal="center" vertical="center"/>
    </xf>
    <xf numFmtId="0" fontId="4" fillId="24" borderId="30" xfId="0" applyFont="1" applyFill="1" applyBorder="1" applyAlignment="1">
      <alignment horizontal="center" vertical="center"/>
    </xf>
    <xf numFmtId="0" fontId="4" fillId="24" borderId="0" xfId="0" applyFont="1" applyFill="1" applyBorder="1" applyAlignment="1">
      <alignment horizontal="center" vertical="center"/>
    </xf>
    <xf numFmtId="0" fontId="4" fillId="24" borderId="3" xfId="0" applyFont="1" applyFill="1" applyBorder="1" applyAlignment="1">
      <alignment horizontal="center" vertical="center"/>
    </xf>
    <xf numFmtId="0" fontId="4" fillId="24" borderId="22" xfId="0" applyFont="1" applyFill="1" applyBorder="1" applyAlignment="1">
      <alignment horizontal="center" vertical="center"/>
    </xf>
    <xf numFmtId="0" fontId="4" fillId="25" borderId="30" xfId="0" applyFont="1" applyFill="1" applyBorder="1" applyAlignment="1">
      <alignment horizontal="center" vertical="center"/>
    </xf>
    <xf numFmtId="0" fontId="4" fillId="25" borderId="0" xfId="0" applyFont="1" applyFill="1" applyBorder="1" applyAlignment="1">
      <alignment horizontal="center" vertical="center"/>
    </xf>
    <xf numFmtId="0" fontId="4" fillId="25" borderId="3" xfId="0" applyFont="1" applyFill="1" applyBorder="1" applyAlignment="1">
      <alignment horizontal="center" vertical="center"/>
    </xf>
    <xf numFmtId="0" fontId="4" fillId="25" borderId="22" xfId="0" applyFont="1" applyFill="1" applyBorder="1" applyAlignment="1">
      <alignment horizontal="center" vertical="center"/>
    </xf>
    <xf numFmtId="0" fontId="4" fillId="26" borderId="75" xfId="0" applyFont="1" applyFill="1" applyBorder="1" applyAlignment="1">
      <alignment horizontal="center" vertical="center"/>
    </xf>
    <xf numFmtId="0" fontId="4" fillId="26" borderId="18" xfId="0" applyFont="1" applyFill="1" applyBorder="1" applyAlignment="1">
      <alignment horizontal="center" vertical="center"/>
    </xf>
    <xf numFmtId="0" fontId="4" fillId="26" borderId="19" xfId="0" applyFont="1" applyFill="1" applyBorder="1" applyAlignment="1">
      <alignment horizontal="center" vertical="center"/>
    </xf>
    <xf numFmtId="0" fontId="4" fillId="26" borderId="20" xfId="0" applyFont="1" applyFill="1" applyBorder="1" applyAlignment="1">
      <alignment horizontal="center" vertical="center"/>
    </xf>
    <xf numFmtId="0" fontId="4" fillId="31" borderId="30" xfId="0" applyFont="1" applyFill="1" applyBorder="1" applyAlignment="1">
      <alignment horizontal="center" vertical="center"/>
    </xf>
    <xf numFmtId="0" fontId="4" fillId="27" borderId="76" xfId="0" applyFont="1" applyFill="1" applyBorder="1" applyAlignment="1">
      <alignment horizontal="center" vertical="center"/>
    </xf>
    <xf numFmtId="0" fontId="4" fillId="27" borderId="24" xfId="0" applyFont="1" applyFill="1" applyBorder="1" applyAlignment="1">
      <alignment horizontal="center" vertical="center"/>
    </xf>
    <xf numFmtId="0" fontId="4" fillId="27" borderId="52" xfId="0" applyFont="1" applyFill="1" applyBorder="1" applyAlignment="1">
      <alignment horizontal="center" vertical="center"/>
    </xf>
    <xf numFmtId="0" fontId="4" fillId="27" borderId="29" xfId="0" applyFont="1" applyFill="1" applyBorder="1" applyAlignment="1">
      <alignment horizontal="center" vertical="center"/>
    </xf>
    <xf numFmtId="0" fontId="4" fillId="28" borderId="22" xfId="0" applyFont="1" applyFill="1" applyBorder="1" applyAlignment="1">
      <alignment horizontal="center" vertical="center"/>
    </xf>
    <xf numFmtId="0" fontId="4" fillId="28" borderId="0" xfId="0" applyFont="1" applyFill="1" applyBorder="1" applyAlignment="1">
      <alignment horizontal="center" vertical="center"/>
    </xf>
    <xf numFmtId="0" fontId="4" fillId="28" borderId="3" xfId="0" applyFont="1" applyFill="1" applyBorder="1" applyAlignment="1">
      <alignment horizontal="center" vertical="center"/>
    </xf>
    <xf numFmtId="0" fontId="4" fillId="28" borderId="28" xfId="0" applyFont="1" applyFill="1" applyBorder="1" applyAlignment="1">
      <alignment horizontal="center" vertical="center"/>
    </xf>
    <xf numFmtId="0" fontId="4" fillId="29" borderId="22" xfId="0" applyFont="1" applyFill="1" applyBorder="1" applyAlignment="1">
      <alignment horizontal="center" vertical="center"/>
    </xf>
    <xf numFmtId="0" fontId="4" fillId="29" borderId="0" xfId="0" applyFont="1" applyFill="1" applyBorder="1" applyAlignment="1">
      <alignment horizontal="center" vertical="center"/>
    </xf>
    <xf numFmtId="0" fontId="4" fillId="29" borderId="3" xfId="0" applyFont="1" applyFill="1" applyBorder="1" applyAlignment="1">
      <alignment horizontal="center" vertical="center"/>
    </xf>
    <xf numFmtId="0" fontId="4" fillId="29" borderId="28" xfId="0" applyFont="1" applyFill="1" applyBorder="1" applyAlignment="1">
      <alignment horizontal="center" vertical="center"/>
    </xf>
    <xf numFmtId="0" fontId="4" fillId="30" borderId="20" xfId="0" applyFont="1" applyFill="1" applyBorder="1" applyAlignment="1">
      <alignment horizontal="center" vertical="center"/>
    </xf>
    <xf numFmtId="0" fontId="4" fillId="30" borderId="18" xfId="0" applyFont="1" applyFill="1" applyBorder="1" applyAlignment="1">
      <alignment horizontal="center" vertical="center"/>
    </xf>
    <xf numFmtId="0" fontId="4" fillId="30" borderId="19" xfId="0" applyFont="1" applyFill="1" applyBorder="1" applyAlignment="1">
      <alignment horizontal="center" vertical="center"/>
    </xf>
    <xf numFmtId="0" fontId="4" fillId="30" borderId="27" xfId="0" applyFont="1" applyFill="1" applyBorder="1" applyAlignment="1">
      <alignment horizontal="center" vertical="center"/>
    </xf>
    <xf numFmtId="0" fontId="4" fillId="31" borderId="51" xfId="0" applyFont="1" applyFill="1" applyBorder="1" applyAlignment="1">
      <alignment horizontal="center" vertical="center"/>
    </xf>
    <xf numFmtId="0" fontId="4" fillId="31" borderId="24" xfId="0" applyFont="1" applyFill="1" applyBorder="1" applyAlignment="1">
      <alignment horizontal="center" vertical="center"/>
    </xf>
    <xf numFmtId="0" fontId="4" fillId="31" borderId="52" xfId="0" applyFont="1" applyFill="1" applyBorder="1" applyAlignment="1">
      <alignment horizontal="center" vertical="center"/>
    </xf>
    <xf numFmtId="0" fontId="4" fillId="31" borderId="76" xfId="0" applyFont="1" applyFill="1" applyBorder="1" applyAlignment="1">
      <alignment horizontal="center" vertical="center"/>
    </xf>
    <xf numFmtId="0" fontId="4" fillId="32" borderId="0" xfId="0" applyFont="1" applyFill="1" applyBorder="1" applyAlignment="1">
      <alignment horizontal="center" vertical="center"/>
    </xf>
    <xf numFmtId="0" fontId="4" fillId="32" borderId="28" xfId="0" applyFont="1" applyFill="1" applyBorder="1" applyAlignment="1">
      <alignment horizontal="center" vertical="center"/>
    </xf>
    <xf numFmtId="0" fontId="4" fillId="31" borderId="31" xfId="0" applyFont="1" applyFill="1" applyBorder="1" applyAlignment="1">
      <alignment horizontal="center" vertical="center"/>
    </xf>
    <xf numFmtId="0" fontId="4" fillId="31" borderId="2" xfId="0" applyFont="1" applyFill="1" applyBorder="1" applyAlignment="1">
      <alignment horizontal="center" vertical="center"/>
    </xf>
    <xf numFmtId="0" fontId="4" fillId="31" borderId="8" xfId="0" applyFont="1" applyFill="1" applyBorder="1" applyAlignment="1">
      <alignment horizontal="center" vertical="center"/>
    </xf>
    <xf numFmtId="0" fontId="4" fillId="31" borderId="78" xfId="0" applyFont="1" applyFill="1" applyBorder="1" applyAlignment="1">
      <alignment horizontal="center" vertical="center"/>
    </xf>
    <xf numFmtId="0" fontId="21" fillId="33" borderId="2" xfId="0" applyFont="1" applyFill="1" applyBorder="1" applyAlignment="1">
      <alignment horizontal="center" vertical="center"/>
    </xf>
    <xf numFmtId="0" fontId="21" fillId="33" borderId="1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xf>
    <xf numFmtId="0" fontId="22" fillId="0" borderId="0" xfId="0" applyFont="1" applyAlignment="1">
      <alignment horizontal="center" vertical="center"/>
    </xf>
    <xf numFmtId="0" fontId="23" fillId="0" borderId="0" xfId="0" applyFont="1" applyAlignment="1">
      <alignment horizontal="center" vertical="center"/>
    </xf>
    <xf numFmtId="0" fontId="4" fillId="34" borderId="22" xfId="0" applyFont="1" applyFill="1" applyBorder="1" applyAlignment="1">
      <alignment horizontal="center"/>
    </xf>
    <xf numFmtId="0" fontId="4" fillId="34" borderId="0" xfId="0" applyFont="1" applyFill="1" applyBorder="1" applyAlignment="1">
      <alignment horizontal="center"/>
    </xf>
    <xf numFmtId="0" fontId="4" fillId="34" borderId="28" xfId="0" applyFont="1" applyFill="1" applyBorder="1" applyAlignment="1">
      <alignment horizontal="center"/>
    </xf>
    <xf numFmtId="0" fontId="4" fillId="34" borderId="21"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1" xfId="0" applyNumberFormat="1" applyFont="1" applyFill="1" applyBorder="1" applyAlignment="1">
      <alignment horizontal="center" vertical="center"/>
    </xf>
    <xf numFmtId="0" fontId="4" fillId="34" borderId="25" xfId="0" applyNumberFormat="1" applyFont="1" applyFill="1" applyBorder="1" applyAlignment="1">
      <alignment horizontal="center" vertical="center"/>
    </xf>
    <xf numFmtId="0" fontId="4" fillId="35" borderId="0" xfId="0" applyFont="1" applyFill="1" applyBorder="1" applyAlignment="1">
      <alignment horizontal="center"/>
    </xf>
    <xf numFmtId="0" fontId="4" fillId="35" borderId="3" xfId="0" applyFont="1" applyFill="1" applyBorder="1" applyAlignment="1">
      <alignment horizontal="center"/>
    </xf>
    <xf numFmtId="0" fontId="4" fillId="35" borderId="23" xfId="0" applyNumberFormat="1" applyFont="1" applyFill="1" applyBorder="1" applyAlignment="1">
      <alignment horizontal="center" vertical="center"/>
    </xf>
    <xf numFmtId="0" fontId="4" fillId="35" borderId="21" xfId="0" applyNumberFormat="1" applyFont="1" applyFill="1" applyBorder="1" applyAlignment="1">
      <alignment horizontal="center" vertical="center"/>
    </xf>
    <xf numFmtId="0" fontId="4" fillId="35" borderId="17" xfId="0" applyNumberFormat="1" applyFont="1" applyFill="1" applyBorder="1" applyAlignment="1">
      <alignment horizontal="center" vertical="center"/>
    </xf>
    <xf numFmtId="0" fontId="4" fillId="36" borderId="22" xfId="0" applyFont="1" applyFill="1" applyBorder="1" applyAlignment="1">
      <alignment horizontal="center"/>
    </xf>
    <xf numFmtId="0" fontId="4" fillId="36" borderId="0" xfId="0" applyFont="1" applyFill="1" applyBorder="1" applyAlignment="1">
      <alignment horizontal="center"/>
    </xf>
    <xf numFmtId="0" fontId="4" fillId="36" borderId="3" xfId="0" applyFont="1" applyFill="1" applyBorder="1" applyAlignment="1">
      <alignment horizontal="center"/>
    </xf>
    <xf numFmtId="0" fontId="4" fillId="36" borderId="79" xfId="0" applyFont="1" applyFill="1" applyBorder="1" applyAlignment="1">
      <alignment horizontal="center" vertical="center"/>
    </xf>
    <xf numFmtId="0" fontId="4" fillId="36" borderId="21" xfId="0" applyFont="1" applyFill="1" applyBorder="1" applyAlignment="1">
      <alignment horizontal="center" vertical="center"/>
    </xf>
    <xf numFmtId="0" fontId="4" fillId="36" borderId="17" xfId="0" applyFont="1" applyFill="1" applyBorder="1" applyAlignment="1">
      <alignment horizontal="center" vertical="center"/>
    </xf>
    <xf numFmtId="0" fontId="4" fillId="36" borderId="79" xfId="0" applyNumberFormat="1" applyFont="1" applyFill="1" applyBorder="1" applyAlignment="1">
      <alignment horizontal="center" vertical="center"/>
    </xf>
    <xf numFmtId="0" fontId="4" fillId="36" borderId="21" xfId="0" applyNumberFormat="1" applyFont="1" applyFill="1" applyBorder="1" applyAlignment="1">
      <alignment horizontal="center" vertical="center"/>
    </xf>
    <xf numFmtId="0" fontId="4" fillId="36" borderId="17" xfId="0" applyNumberFormat="1" applyFont="1" applyFill="1" applyBorder="1" applyAlignment="1">
      <alignment horizontal="center" vertical="center"/>
    </xf>
    <xf numFmtId="0" fontId="4" fillId="31" borderId="49" xfId="0" applyFont="1" applyFill="1" applyBorder="1" applyAlignment="1">
      <alignment horizontal="center" vertical="center"/>
    </xf>
    <xf numFmtId="0" fontId="4" fillId="31" borderId="14" xfId="0" applyFont="1" applyFill="1" applyBorder="1" applyAlignment="1">
      <alignment horizontal="center" vertical="center"/>
    </xf>
    <xf numFmtId="0" fontId="2" fillId="0" borderId="61" xfId="0" applyFont="1" applyBorder="1"/>
    <xf numFmtId="0" fontId="2" fillId="0" borderId="62" xfId="0" applyFont="1" applyBorder="1"/>
    <xf numFmtId="0" fontId="2" fillId="0" borderId="15" xfId="0" applyFont="1" applyBorder="1"/>
    <xf numFmtId="0" fontId="30" fillId="0" borderId="14" xfId="0" applyFont="1" applyBorder="1" applyAlignment="1">
      <alignment horizontal="center"/>
    </xf>
    <xf numFmtId="0" fontId="5" fillId="2" borderId="3" xfId="0" applyNumberFormat="1" applyFont="1" applyFill="1" applyBorder="1" applyAlignment="1">
      <alignment horizontal="center"/>
    </xf>
    <xf numFmtId="0" fontId="30" fillId="0" borderId="0" xfId="0" applyFont="1" applyFill="1" applyBorder="1"/>
    <xf numFmtId="0" fontId="30" fillId="0" borderId="0" xfId="0" applyFont="1"/>
    <xf numFmtId="0" fontId="2" fillId="0" borderId="0" xfId="0" applyNumberFormat="1" applyFont="1" applyAlignment="1">
      <alignment horizontal="center"/>
    </xf>
    <xf numFmtId="0" fontId="32" fillId="2" borderId="5" xfId="0" applyFont="1" applyFill="1" applyBorder="1" applyAlignment="1">
      <alignment horizontal="center" vertical="center"/>
    </xf>
    <xf numFmtId="0" fontId="32" fillId="2" borderId="6" xfId="0" applyFont="1" applyFill="1" applyBorder="1" applyAlignment="1">
      <alignment horizontal="center" vertical="center"/>
    </xf>
    <xf numFmtId="0" fontId="32" fillId="2" borderId="7" xfId="0" applyFont="1" applyFill="1" applyBorder="1" applyAlignment="1">
      <alignment horizontal="center" vertical="center"/>
    </xf>
    <xf numFmtId="0" fontId="32" fillId="2" borderId="26" xfId="0" applyFont="1" applyFill="1" applyBorder="1" applyAlignment="1">
      <alignment horizontal="center" vertical="center"/>
    </xf>
    <xf numFmtId="0" fontId="32" fillId="2" borderId="1" xfId="0" applyFont="1" applyFill="1" applyBorder="1" applyAlignment="1">
      <alignment horizontal="center" vertical="center"/>
    </xf>
    <xf numFmtId="0" fontId="6" fillId="3" borderId="0" xfId="0" applyFont="1" applyFill="1" applyAlignment="1">
      <alignment horizontal="center"/>
    </xf>
    <xf numFmtId="0" fontId="6" fillId="3" borderId="3" xfId="0" applyFont="1" applyFill="1" applyBorder="1"/>
    <xf numFmtId="0" fontId="6" fillId="3" borderId="4" xfId="0" applyFont="1" applyFill="1" applyBorder="1"/>
    <xf numFmtId="0" fontId="6" fillId="3" borderId="28" xfId="0" applyFont="1" applyFill="1" applyBorder="1"/>
    <xf numFmtId="0" fontId="6" fillId="3" borderId="0" xfId="0" applyFont="1" applyFill="1"/>
    <xf numFmtId="0" fontId="2" fillId="4" borderId="2" xfId="0" applyFont="1" applyFill="1" applyBorder="1" applyAlignment="1">
      <alignment horizontal="center"/>
    </xf>
    <xf numFmtId="0" fontId="2" fillId="4" borderId="8" xfId="0" applyFont="1" applyFill="1" applyBorder="1"/>
    <xf numFmtId="0" fontId="2" fillId="4" borderId="9" xfId="0" applyFont="1" applyFill="1" applyBorder="1"/>
    <xf numFmtId="0" fontId="2" fillId="4" borderId="14" xfId="0" applyFont="1" applyFill="1" applyBorder="1"/>
    <xf numFmtId="0" fontId="2" fillId="4" borderId="2" xfId="0" applyFont="1" applyFill="1" applyBorder="1"/>
    <xf numFmtId="0" fontId="6" fillId="5" borderId="0" xfId="0" applyFont="1" applyFill="1" applyAlignment="1">
      <alignment horizontal="center"/>
    </xf>
    <xf numFmtId="0" fontId="6" fillId="5" borderId="3" xfId="0" applyFont="1" applyFill="1" applyBorder="1"/>
    <xf numFmtId="0" fontId="6" fillId="5" borderId="4" xfId="0" applyFont="1" applyFill="1" applyBorder="1"/>
    <xf numFmtId="0" fontId="6" fillId="5" borderId="28" xfId="0" applyFont="1" applyFill="1" applyBorder="1"/>
    <xf numFmtId="0" fontId="6" fillId="5" borderId="0" xfId="0" applyFont="1" applyFill="1"/>
    <xf numFmtId="0" fontId="2" fillId="6" borderId="0" xfId="0" applyFont="1" applyFill="1" applyAlignment="1">
      <alignment horizontal="center"/>
    </xf>
    <xf numFmtId="0" fontId="2" fillId="6" borderId="3" xfId="0" applyFont="1" applyFill="1" applyBorder="1"/>
    <xf numFmtId="0" fontId="2" fillId="6" borderId="4" xfId="0" applyFont="1" applyFill="1" applyBorder="1"/>
    <xf numFmtId="0" fontId="2" fillId="6" borderId="28" xfId="0" applyFont="1" applyFill="1" applyBorder="1"/>
    <xf numFmtId="0" fontId="2" fillId="6" borderId="0" xfId="0" applyFont="1" applyFill="1"/>
    <xf numFmtId="0" fontId="2" fillId="6" borderId="2" xfId="0" applyFont="1" applyFill="1" applyBorder="1" applyAlignment="1">
      <alignment horizontal="center"/>
    </xf>
    <xf numFmtId="0" fontId="2" fillId="6" borderId="8" xfId="0" applyFont="1" applyFill="1" applyBorder="1"/>
    <xf numFmtId="0" fontId="2" fillId="6" borderId="9" xfId="0" applyFont="1" applyFill="1" applyBorder="1"/>
    <xf numFmtId="0" fontId="2" fillId="6" borderId="14" xfId="0" applyFont="1" applyFill="1" applyBorder="1"/>
    <xf numFmtId="0" fontId="2" fillId="6" borderId="2" xfId="0" applyFont="1" applyFill="1" applyBorder="1"/>
    <xf numFmtId="0" fontId="6" fillId="7" borderId="0" xfId="0" applyFont="1" applyFill="1" applyAlignment="1">
      <alignment horizontal="center"/>
    </xf>
    <xf numFmtId="0" fontId="6" fillId="7" borderId="3" xfId="0" applyFont="1" applyFill="1" applyBorder="1"/>
    <xf numFmtId="0" fontId="6" fillId="7" borderId="4" xfId="0" applyFont="1" applyFill="1" applyBorder="1"/>
    <xf numFmtId="0" fontId="6" fillId="7" borderId="28" xfId="0" applyFont="1" applyFill="1" applyBorder="1"/>
    <xf numFmtId="0" fontId="6" fillId="7" borderId="0" xfId="0" applyFont="1" applyFill="1"/>
    <xf numFmtId="0" fontId="2" fillId="8" borderId="3" xfId="0" applyFont="1" applyFill="1" applyBorder="1"/>
    <xf numFmtId="0" fontId="2" fillId="8" borderId="4" xfId="0" applyFont="1" applyFill="1" applyBorder="1"/>
    <xf numFmtId="0" fontId="2" fillId="8" borderId="28" xfId="0" applyFont="1" applyFill="1" applyBorder="1"/>
    <xf numFmtId="0" fontId="2" fillId="8" borderId="0" xfId="0" applyFont="1" applyFill="1"/>
    <xf numFmtId="0" fontId="2" fillId="8" borderId="0" xfId="0" applyFont="1" applyFill="1" applyBorder="1"/>
    <xf numFmtId="0" fontId="2" fillId="8" borderId="8" xfId="0" applyFont="1" applyFill="1" applyBorder="1"/>
    <xf numFmtId="0" fontId="2" fillId="8" borderId="9" xfId="0" applyFont="1" applyFill="1" applyBorder="1"/>
    <xf numFmtId="0" fontId="2" fillId="8" borderId="14" xfId="0" applyFont="1" applyFill="1" applyBorder="1"/>
    <xf numFmtId="0" fontId="2" fillId="8" borderId="2" xfId="0" applyFont="1" applyFill="1" applyBorder="1"/>
    <xf numFmtId="0" fontId="6" fillId="9" borderId="0" xfId="0" applyFont="1" applyFill="1" applyAlignment="1">
      <alignment horizontal="center"/>
    </xf>
    <xf numFmtId="0" fontId="6" fillId="9" borderId="3" xfId="0" applyFont="1" applyFill="1" applyBorder="1"/>
    <xf numFmtId="0" fontId="6" fillId="9" borderId="4" xfId="0" applyFont="1" applyFill="1" applyBorder="1"/>
    <xf numFmtId="0" fontId="6" fillId="9" borderId="28" xfId="0" applyFont="1" applyFill="1" applyBorder="1"/>
    <xf numFmtId="0" fontId="6" fillId="9" borderId="0" xfId="0" applyFont="1" applyFill="1"/>
    <xf numFmtId="0" fontId="2" fillId="10" borderId="0" xfId="0" applyFont="1" applyFill="1" applyAlignment="1">
      <alignment horizontal="center"/>
    </xf>
    <xf numFmtId="0" fontId="2" fillId="10" borderId="3" xfId="0" applyFont="1" applyFill="1" applyBorder="1"/>
    <xf numFmtId="0" fontId="2" fillId="10" borderId="4" xfId="0" applyFont="1" applyFill="1" applyBorder="1"/>
    <xf numFmtId="0" fontId="2" fillId="10" borderId="28" xfId="0" applyFont="1" applyFill="1" applyBorder="1"/>
    <xf numFmtId="0" fontId="2" fillId="10" borderId="0" xfId="0" applyFont="1" applyFill="1"/>
    <xf numFmtId="0" fontId="2" fillId="10" borderId="2" xfId="0" applyFont="1" applyFill="1" applyBorder="1" applyAlignment="1">
      <alignment horizontal="center"/>
    </xf>
    <xf numFmtId="0" fontId="2" fillId="10" borderId="8" xfId="0" applyFont="1" applyFill="1" applyBorder="1"/>
    <xf numFmtId="0" fontId="2" fillId="10" borderId="9" xfId="0" applyFont="1" applyFill="1" applyBorder="1"/>
    <xf numFmtId="0" fontId="2" fillId="10" borderId="14" xfId="0" applyFont="1" applyFill="1" applyBorder="1"/>
    <xf numFmtId="0" fontId="2" fillId="10" borderId="2" xfId="0" applyFont="1" applyFill="1" applyBorder="1"/>
    <xf numFmtId="0" fontId="6" fillId="11" borderId="0" xfId="0" applyFont="1" applyFill="1" applyAlignment="1">
      <alignment horizontal="center"/>
    </xf>
    <xf numFmtId="0" fontId="6" fillId="11" borderId="3" xfId="0" applyFont="1" applyFill="1" applyBorder="1"/>
    <xf numFmtId="0" fontId="6" fillId="11" borderId="4" xfId="0" applyFont="1" applyFill="1" applyBorder="1"/>
    <xf numFmtId="0" fontId="6" fillId="11" borderId="28" xfId="0" applyFont="1" applyFill="1" applyBorder="1"/>
    <xf numFmtId="0" fontId="6" fillId="11" borderId="0" xfId="0" applyFont="1" applyFill="1"/>
    <xf numFmtId="0" fontId="2" fillId="17" borderId="0" xfId="0" applyFont="1" applyFill="1" applyAlignment="1">
      <alignment horizontal="center"/>
    </xf>
    <xf numFmtId="0" fontId="2" fillId="17" borderId="3" xfId="0" applyFont="1" applyFill="1" applyBorder="1"/>
    <xf numFmtId="0" fontId="2" fillId="17" borderId="4" xfId="0" applyFont="1" applyFill="1" applyBorder="1"/>
    <xf numFmtId="0" fontId="2" fillId="17" borderId="28" xfId="0" applyFont="1" applyFill="1" applyBorder="1"/>
    <xf numFmtId="0" fontId="2" fillId="17" borderId="0" xfId="0" applyFont="1" applyFill="1"/>
    <xf numFmtId="0" fontId="2" fillId="12" borderId="0" xfId="0" applyFont="1" applyFill="1" applyAlignment="1">
      <alignment horizontal="center"/>
    </xf>
    <xf numFmtId="0" fontId="2" fillId="12" borderId="3" xfId="0" applyFont="1" applyFill="1" applyBorder="1"/>
    <xf numFmtId="0" fontId="2" fillId="12" borderId="4" xfId="0" applyFont="1" applyFill="1" applyBorder="1"/>
    <xf numFmtId="0" fontId="2" fillId="12" borderId="28" xfId="0" applyFont="1" applyFill="1" applyBorder="1"/>
    <xf numFmtId="0" fontId="2" fillId="12" borderId="0" xfId="0" applyFont="1" applyFill="1"/>
    <xf numFmtId="0" fontId="2" fillId="12" borderId="2" xfId="0" applyFont="1" applyFill="1" applyBorder="1" applyAlignment="1">
      <alignment horizontal="center"/>
    </xf>
    <xf numFmtId="0" fontId="2" fillId="12" borderId="8" xfId="0" applyFont="1" applyFill="1" applyBorder="1"/>
    <xf numFmtId="0" fontId="2" fillId="12" borderId="9" xfId="0" applyFont="1" applyFill="1" applyBorder="1"/>
    <xf numFmtId="0" fontId="2" fillId="12" borderId="14" xfId="0" applyFont="1" applyFill="1" applyBorder="1"/>
    <xf numFmtId="0" fontId="2" fillId="12" borderId="2" xfId="0" applyFont="1" applyFill="1" applyBorder="1"/>
    <xf numFmtId="0" fontId="6" fillId="13" borderId="0" xfId="0" applyFont="1" applyFill="1" applyAlignment="1">
      <alignment horizontal="center"/>
    </xf>
    <xf numFmtId="0" fontId="6" fillId="13" borderId="3" xfId="0" applyFont="1" applyFill="1" applyBorder="1"/>
    <xf numFmtId="0" fontId="6" fillId="13" borderId="4" xfId="0" applyFont="1" applyFill="1" applyBorder="1"/>
    <xf numFmtId="0" fontId="6" fillId="13" borderId="28" xfId="0" applyFont="1" applyFill="1" applyBorder="1"/>
    <xf numFmtId="0" fontId="6" fillId="13" borderId="0" xfId="0" applyFont="1" applyFill="1"/>
    <xf numFmtId="0" fontId="2" fillId="37" borderId="3" xfId="0" applyFont="1" applyFill="1" applyBorder="1"/>
    <xf numFmtId="0" fontId="2" fillId="37" borderId="4" xfId="0" applyFont="1" applyFill="1" applyBorder="1"/>
    <xf numFmtId="0" fontId="2" fillId="37" borderId="28" xfId="0" applyFont="1" applyFill="1" applyBorder="1"/>
    <xf numFmtId="0" fontId="2" fillId="37" borderId="0" xfId="0" applyFont="1" applyFill="1"/>
    <xf numFmtId="0" fontId="2" fillId="14" borderId="0" xfId="0" applyFont="1" applyFill="1" applyAlignment="1">
      <alignment horizontal="center"/>
    </xf>
    <xf numFmtId="0" fontId="2" fillId="14" borderId="3" xfId="0" applyFont="1" applyFill="1" applyBorder="1"/>
    <xf numFmtId="0" fontId="2" fillId="14" borderId="4" xfId="0" applyFont="1" applyFill="1" applyBorder="1"/>
    <xf numFmtId="0" fontId="2" fillId="14" borderId="28" xfId="0" applyFont="1" applyFill="1" applyBorder="1"/>
    <xf numFmtId="0" fontId="2" fillId="14" borderId="0" xfId="0" applyFont="1" applyFill="1"/>
    <xf numFmtId="0" fontId="2" fillId="14" borderId="2" xfId="0" applyFont="1" applyFill="1" applyBorder="1" applyAlignment="1">
      <alignment horizontal="center"/>
    </xf>
    <xf numFmtId="0" fontId="2" fillId="14" borderId="8" xfId="0" applyFont="1" applyFill="1" applyBorder="1"/>
    <xf numFmtId="0" fontId="2" fillId="14" borderId="9" xfId="0" applyFont="1" applyFill="1" applyBorder="1"/>
    <xf numFmtId="0" fontId="2" fillId="14" borderId="14" xfId="0" applyFont="1" applyFill="1" applyBorder="1"/>
    <xf numFmtId="0" fontId="2" fillId="14" borderId="2" xfId="0" applyFont="1" applyFill="1" applyBorder="1"/>
    <xf numFmtId="0" fontId="2" fillId="0" borderId="3" xfId="0" applyFont="1" applyBorder="1"/>
    <xf numFmtId="0" fontId="2" fillId="0" borderId="4" xfId="0" applyFont="1" applyBorder="1"/>
    <xf numFmtId="0" fontId="6" fillId="0" borderId="49" xfId="0" applyFont="1" applyBorder="1"/>
    <xf numFmtId="0" fontId="2" fillId="0" borderId="56" xfId="0" applyNumberFormat="1" applyFont="1" applyBorder="1"/>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20" fillId="0" borderId="58" xfId="0" applyFont="1" applyBorder="1"/>
    <xf numFmtId="164" fontId="2" fillId="0" borderId="57" xfId="0" applyNumberFormat="1" applyFont="1" applyBorder="1" applyAlignment="1">
      <alignment horizontal="center" vertical="center"/>
    </xf>
    <xf numFmtId="0" fontId="2" fillId="0" borderId="53" xfId="0" applyFont="1" applyBorder="1" applyAlignment="1">
      <alignment horizontal="center" vertical="center"/>
    </xf>
    <xf numFmtId="0" fontId="2" fillId="0" borderId="58" xfId="0" applyFont="1" applyBorder="1" applyAlignment="1">
      <alignment horizontal="center" vertical="center"/>
    </xf>
    <xf numFmtId="0" fontId="2" fillId="0" borderId="58" xfId="0" applyNumberFormat="1" applyFont="1" applyBorder="1"/>
    <xf numFmtId="164" fontId="2" fillId="0" borderId="50" xfId="0" applyNumberFormat="1" applyFont="1" applyBorder="1" applyAlignment="1">
      <alignment horizontal="center" vertical="center"/>
    </xf>
    <xf numFmtId="0" fontId="2" fillId="0" borderId="60" xfId="0" applyNumberFormat="1" applyFont="1" applyBorder="1"/>
    <xf numFmtId="0" fontId="6" fillId="0" borderId="0" xfId="0" applyFont="1" applyBorder="1" applyAlignment="1"/>
    <xf numFmtId="0" fontId="2" fillId="0" borderId="61" xfId="0" applyFont="1" applyFill="1" applyBorder="1"/>
    <xf numFmtId="0" fontId="2" fillId="0" borderId="56" xfId="0" applyFont="1" applyBorder="1"/>
    <xf numFmtId="0" fontId="2" fillId="0" borderId="60" xfId="0" applyFont="1" applyBorder="1"/>
    <xf numFmtId="0" fontId="2" fillId="0" borderId="16" xfId="0" applyFont="1" applyBorder="1"/>
    <xf numFmtId="0" fontId="2" fillId="0" borderId="73" xfId="0" applyFont="1" applyFill="1" applyBorder="1"/>
    <xf numFmtId="0" fontId="13" fillId="0" borderId="0" xfId="0" applyFont="1"/>
    <xf numFmtId="0" fontId="2" fillId="0" borderId="0" xfId="0" applyFont="1" applyAlignment="1">
      <alignment wrapText="1"/>
    </xf>
    <xf numFmtId="0" fontId="2" fillId="0" borderId="0" xfId="0" applyFont="1" applyAlignment="1">
      <alignment horizontal="center" wrapText="1"/>
    </xf>
    <xf numFmtId="0" fontId="2" fillId="0" borderId="0" xfId="0" applyFont="1" applyAlignment="1">
      <alignment horizontal="center"/>
    </xf>
    <xf numFmtId="0" fontId="2" fillId="37" borderId="80" xfId="0" applyFont="1" applyFill="1" applyBorder="1" applyAlignment="1"/>
    <xf numFmtId="0" fontId="2" fillId="37" borderId="81" xfId="0" applyFont="1" applyFill="1" applyBorder="1" applyAlignment="1"/>
    <xf numFmtId="0" fontId="13" fillId="37" borderId="81" xfId="0" applyFont="1" applyFill="1" applyBorder="1" applyAlignment="1"/>
    <xf numFmtId="0" fontId="2" fillId="37" borderId="82" xfId="0" applyFont="1" applyFill="1" applyBorder="1" applyAlignment="1"/>
    <xf numFmtId="0" fontId="2" fillId="0" borderId="58" xfId="0" applyFont="1" applyBorder="1"/>
    <xf numFmtId="0" fontId="2" fillId="0" borderId="0" xfId="0" applyFont="1" applyFill="1" applyBorder="1" applyAlignment="1"/>
    <xf numFmtId="0" fontId="13" fillId="0" borderId="0" xfId="0" applyFont="1" applyFill="1" applyBorder="1" applyAlignment="1"/>
    <xf numFmtId="0" fontId="2" fillId="0" borderId="0" xfId="0" applyFont="1" applyFill="1" applyBorder="1" applyAlignment="1">
      <alignment horizontal="center"/>
    </xf>
    <xf numFmtId="0" fontId="13" fillId="0" borderId="0" xfId="0" applyFont="1" applyFill="1" applyBorder="1" applyAlignment="1">
      <alignment horizontal="center"/>
    </xf>
    <xf numFmtId="0" fontId="7" fillId="0" borderId="0" xfId="0" applyFont="1" applyBorder="1"/>
    <xf numFmtId="0" fontId="2" fillId="38" borderId="0" xfId="0" applyFont="1" applyFill="1" applyBorder="1"/>
    <xf numFmtId="0" fontId="2" fillId="36" borderId="84" xfId="0" applyNumberFormat="1" applyFont="1" applyFill="1" applyBorder="1" applyAlignment="1">
      <alignment horizontal="center"/>
    </xf>
    <xf numFmtId="0" fontId="2" fillId="36" borderId="85" xfId="0" applyNumberFormat="1" applyFont="1" applyFill="1" applyBorder="1" applyAlignment="1">
      <alignment horizontal="center"/>
    </xf>
    <xf numFmtId="0" fontId="2" fillId="36" borderId="86" xfId="0" applyNumberFormat="1" applyFont="1" applyFill="1" applyBorder="1" applyAlignment="1">
      <alignment horizontal="center"/>
    </xf>
    <xf numFmtId="0" fontId="2" fillId="36" borderId="83" xfId="0" applyNumberFormat="1" applyFont="1" applyFill="1" applyBorder="1" applyAlignment="1">
      <alignment horizontal="center"/>
    </xf>
    <xf numFmtId="0" fontId="13" fillId="35" borderId="87" xfId="0" applyNumberFormat="1" applyFont="1" applyFill="1" applyBorder="1" applyAlignment="1">
      <alignment horizontal="center"/>
    </xf>
    <xf numFmtId="0" fontId="13" fillId="35" borderId="88" xfId="0" applyNumberFormat="1" applyFont="1" applyFill="1" applyBorder="1" applyAlignment="1">
      <alignment horizontal="center"/>
    </xf>
    <xf numFmtId="0" fontId="13" fillId="35" borderId="89" xfId="0" applyNumberFormat="1" applyFont="1" applyFill="1" applyBorder="1" applyAlignment="1">
      <alignment horizontal="center"/>
    </xf>
    <xf numFmtId="0" fontId="2" fillId="35" borderId="90" xfId="0" applyNumberFormat="1" applyFont="1" applyFill="1" applyBorder="1" applyAlignment="1">
      <alignment horizontal="center"/>
    </xf>
    <xf numFmtId="0" fontId="2" fillId="34" borderId="92" xfId="0" applyNumberFormat="1" applyFont="1" applyFill="1" applyBorder="1" applyAlignment="1">
      <alignment horizontal="center"/>
    </xf>
    <xf numFmtId="0" fontId="2" fillId="34" borderId="93" xfId="0" applyNumberFormat="1" applyFont="1" applyFill="1" applyBorder="1" applyAlignment="1">
      <alignment horizontal="center"/>
    </xf>
    <xf numFmtId="0" fontId="2" fillId="34" borderId="94" xfId="0" applyNumberFormat="1" applyFont="1" applyFill="1" applyBorder="1" applyAlignment="1">
      <alignment horizontal="center"/>
    </xf>
    <xf numFmtId="0" fontId="2" fillId="34" borderId="91" xfId="0" applyNumberFormat="1" applyFont="1" applyFill="1" applyBorder="1" applyAlignment="1">
      <alignment horizontal="center"/>
    </xf>
    <xf numFmtId="0" fontId="2" fillId="34" borderId="95" xfId="0" applyNumberFormat="1" applyFont="1" applyFill="1" applyBorder="1" applyAlignment="1">
      <alignment horizontal="center"/>
    </xf>
    <xf numFmtId="0" fontId="2" fillId="35" borderId="96" xfId="0" applyNumberFormat="1" applyFont="1" applyFill="1" applyBorder="1" applyAlignment="1">
      <alignment horizontal="center"/>
    </xf>
    <xf numFmtId="0" fontId="5" fillId="2" borderId="9" xfId="0" applyNumberFormat="1" applyFont="1" applyFill="1" applyBorder="1" applyAlignment="1">
      <alignment horizontal="center"/>
    </xf>
    <xf numFmtId="0" fontId="5" fillId="2" borderId="14" xfId="0" applyNumberFormat="1" applyFont="1" applyFill="1" applyBorder="1" applyAlignment="1">
      <alignment horizontal="center"/>
    </xf>
    <xf numFmtId="0" fontId="2" fillId="36" borderId="97" xfId="0" applyNumberFormat="1" applyFont="1" applyFill="1" applyBorder="1" applyAlignment="1">
      <alignment horizontal="center"/>
    </xf>
    <xf numFmtId="0" fontId="2" fillId="35" borderId="98" xfId="0" applyNumberFormat="1" applyFont="1" applyFill="1" applyBorder="1" applyAlignment="1">
      <alignment horizontal="center"/>
    </xf>
    <xf numFmtId="0" fontId="2" fillId="36" borderId="99" xfId="0" applyNumberFormat="1" applyFont="1" applyFill="1" applyBorder="1" applyAlignment="1">
      <alignment horizontal="center"/>
    </xf>
    <xf numFmtId="0" fontId="2" fillId="36" borderId="100" xfId="0" applyNumberFormat="1" applyFont="1" applyFill="1" applyBorder="1" applyAlignment="1">
      <alignment horizontal="center"/>
    </xf>
    <xf numFmtId="0" fontId="2" fillId="36" borderId="101" xfId="0" applyNumberFormat="1" applyFont="1" applyFill="1" applyBorder="1" applyAlignment="1">
      <alignment horizontal="center"/>
    </xf>
    <xf numFmtId="0" fontId="2" fillId="36" borderId="102" xfId="0" applyNumberFormat="1" applyFont="1" applyFill="1" applyBorder="1" applyAlignment="1">
      <alignment horizontal="center"/>
    </xf>
    <xf numFmtId="0" fontId="2" fillId="35" borderId="103" xfId="0" applyNumberFormat="1" applyFont="1" applyFill="1" applyBorder="1" applyAlignment="1">
      <alignment horizontal="center"/>
    </xf>
    <xf numFmtId="0" fontId="2" fillId="35" borderId="104" xfId="0" applyNumberFormat="1" applyFont="1" applyFill="1" applyBorder="1" applyAlignment="1">
      <alignment horizontal="center"/>
    </xf>
    <xf numFmtId="0" fontId="2" fillId="35" borderId="105" xfId="0" applyNumberFormat="1" applyFont="1" applyFill="1" applyBorder="1" applyAlignment="1">
      <alignment horizontal="center"/>
    </xf>
    <xf numFmtId="0" fontId="2" fillId="34" borderId="106" xfId="0" applyNumberFormat="1" applyFont="1" applyFill="1" applyBorder="1" applyAlignment="1">
      <alignment horizontal="center"/>
    </xf>
    <xf numFmtId="0" fontId="2" fillId="34" borderId="107" xfId="0" applyNumberFormat="1" applyFont="1" applyFill="1" applyBorder="1" applyAlignment="1">
      <alignment horizontal="center"/>
    </xf>
    <xf numFmtId="0" fontId="2" fillId="34" borderId="108" xfId="0" applyNumberFormat="1" applyFont="1" applyFill="1" applyBorder="1" applyAlignment="1">
      <alignment horizontal="center"/>
    </xf>
    <xf numFmtId="0" fontId="2" fillId="34" borderId="109" xfId="0" applyNumberFormat="1" applyFont="1" applyFill="1" applyBorder="1" applyAlignment="1">
      <alignment horizontal="center"/>
    </xf>
    <xf numFmtId="0" fontId="11" fillId="0" borderId="110" xfId="0" applyFont="1" applyBorder="1" applyAlignment="1">
      <alignment horizontal="center" vertical="center" wrapText="1"/>
    </xf>
    <xf numFmtId="0" fontId="25" fillId="0" borderId="111" xfId="0" applyFont="1" applyBorder="1" applyAlignment="1">
      <alignment vertical="center" wrapText="1"/>
    </xf>
    <xf numFmtId="0" fontId="13" fillId="0" borderId="111" xfId="1" applyFont="1" applyBorder="1" applyAlignment="1">
      <alignment vertical="center" wrapText="1"/>
    </xf>
    <xf numFmtId="0" fontId="2" fillId="0" borderId="111" xfId="0" applyFont="1" applyBorder="1" applyAlignment="1">
      <alignment horizontal="left" vertical="center" wrapText="1"/>
    </xf>
    <xf numFmtId="0" fontId="6" fillId="0" borderId="111" xfId="0" applyFont="1" applyBorder="1" applyAlignment="1">
      <alignment vertical="center" wrapText="1"/>
    </xf>
    <xf numFmtId="0" fontId="2" fillId="0" borderId="112" xfId="0" applyFont="1" applyBorder="1" applyAlignment="1">
      <alignment vertical="center" wrapText="1"/>
    </xf>
    <xf numFmtId="0" fontId="34" fillId="14" borderId="0" xfId="0" applyFont="1" applyFill="1" applyAlignment="1">
      <alignment horizontal="center"/>
    </xf>
    <xf numFmtId="0" fontId="6" fillId="37" borderId="0" xfId="0" applyFont="1" applyFill="1" applyAlignment="1">
      <alignment horizontal="center"/>
    </xf>
    <xf numFmtId="0" fontId="29" fillId="14" borderId="9" xfId="0" applyFont="1" applyFill="1" applyBorder="1"/>
    <xf numFmtId="0" fontId="29" fillId="14" borderId="4" xfId="0" applyFont="1" applyFill="1" applyBorder="1"/>
    <xf numFmtId="0" fontId="26" fillId="5" borderId="4" xfId="0" applyFont="1" applyFill="1" applyBorder="1"/>
    <xf numFmtId="0" fontId="28" fillId="8" borderId="4" xfId="0" applyFont="1" applyFill="1" applyBorder="1"/>
    <xf numFmtId="0" fontId="28" fillId="6" borderId="4" xfId="0" applyFont="1" applyFill="1" applyBorder="1"/>
    <xf numFmtId="0" fontId="28" fillId="6" borderId="9" xfId="0" applyFont="1" applyFill="1" applyBorder="1" applyAlignment="1">
      <alignment horizontal="left" vertical="center"/>
    </xf>
    <xf numFmtId="0" fontId="28" fillId="6" borderId="4" xfId="0" applyFont="1" applyFill="1" applyBorder="1" applyAlignment="1">
      <alignment horizontal="left" vertical="center"/>
    </xf>
    <xf numFmtId="0" fontId="28" fillId="4" borderId="9" xfId="0" applyFont="1" applyFill="1" applyBorder="1"/>
    <xf numFmtId="0" fontId="2" fillId="0" borderId="0" xfId="0" applyFont="1" applyAlignment="1"/>
    <xf numFmtId="0" fontId="2" fillId="4" borderId="30" xfId="0" applyFont="1" applyFill="1" applyBorder="1"/>
    <xf numFmtId="0" fontId="2" fillId="4" borderId="3" xfId="0" applyFont="1" applyFill="1" applyBorder="1" applyAlignment="1">
      <alignment horizontal="right"/>
    </xf>
    <xf numFmtId="0" fontId="2" fillId="8" borderId="3" xfId="0" applyFont="1" applyFill="1" applyBorder="1" applyAlignment="1">
      <alignment horizontal="right"/>
    </xf>
    <xf numFmtId="0" fontId="2" fillId="10" borderId="0" xfId="0" applyFont="1" applyFill="1" applyBorder="1"/>
    <xf numFmtId="0" fontId="2" fillId="10" borderId="3" xfId="0" applyFont="1" applyFill="1" applyBorder="1" applyAlignment="1">
      <alignment horizontal="right"/>
    </xf>
    <xf numFmtId="0" fontId="2" fillId="12" borderId="0" xfId="0" applyFont="1" applyFill="1" applyBorder="1"/>
    <xf numFmtId="0" fontId="2" fillId="0" borderId="1" xfId="0" applyFont="1" applyBorder="1"/>
    <xf numFmtId="0" fontId="2" fillId="0" borderId="113" xfId="0" applyNumberFormat="1" applyFont="1" applyBorder="1"/>
    <xf numFmtId="0" fontId="2" fillId="0" borderId="114" xfId="0" applyNumberFormat="1" applyFont="1" applyBorder="1"/>
    <xf numFmtId="0" fontId="2" fillId="0" borderId="115" xfId="0" applyNumberFormat="1" applyFont="1" applyBorder="1"/>
    <xf numFmtId="0" fontId="20" fillId="0" borderId="53" xfId="0" applyFont="1" applyBorder="1"/>
    <xf numFmtId="0" fontId="2" fillId="0" borderId="81" xfId="0" applyFont="1" applyBorder="1"/>
    <xf numFmtId="0" fontId="2" fillId="0" borderId="82" xfId="0" applyFont="1" applyBorder="1"/>
    <xf numFmtId="0" fontId="2" fillId="0" borderId="80" xfId="0" applyNumberFormat="1" applyFont="1" applyBorder="1"/>
    <xf numFmtId="0" fontId="20" fillId="0" borderId="81" xfId="0" applyFont="1" applyBorder="1"/>
    <xf numFmtId="0" fontId="2" fillId="0" borderId="81" xfId="0" applyNumberFormat="1" applyFont="1" applyBorder="1"/>
    <xf numFmtId="0" fontId="2" fillId="0" borderId="82" xfId="0" applyNumberFormat="1" applyFont="1" applyBorder="1"/>
    <xf numFmtId="0" fontId="2" fillId="0" borderId="49" xfId="0" applyFont="1" applyBorder="1"/>
    <xf numFmtId="0" fontId="2" fillId="0" borderId="75" xfId="0" applyFont="1" applyBorder="1"/>
    <xf numFmtId="0" fontId="2" fillId="12" borderId="28" xfId="0" applyFont="1" applyFill="1" applyBorder="1" applyAlignment="1">
      <alignment horizontal="right"/>
    </xf>
    <xf numFmtId="0" fontId="2" fillId="4" borderId="31" xfId="0" applyFont="1" applyFill="1" applyBorder="1"/>
    <xf numFmtId="0" fontId="2" fillId="4" borderId="8" xfId="0" applyFont="1" applyFill="1" applyBorder="1" applyAlignment="1">
      <alignment horizontal="right"/>
    </xf>
    <xf numFmtId="0" fontId="2" fillId="8" borderId="8" xfId="0" applyFont="1" applyFill="1" applyBorder="1" applyAlignment="1">
      <alignment horizontal="right"/>
    </xf>
    <xf numFmtId="0" fontId="2" fillId="10" borderId="8" xfId="0" applyFont="1" applyFill="1" applyBorder="1" applyAlignment="1">
      <alignment horizontal="right"/>
    </xf>
    <xf numFmtId="0" fontId="2" fillId="12" borderId="14" xfId="0" applyFont="1" applyFill="1" applyBorder="1" applyAlignment="1">
      <alignment horizontal="right"/>
    </xf>
    <xf numFmtId="0" fontId="35" fillId="0" borderId="21" xfId="0" applyFont="1" applyBorder="1" applyAlignment="1">
      <alignment horizontal="center" vertical="center"/>
    </xf>
    <xf numFmtId="0" fontId="5" fillId="2" borderId="32" xfId="0" applyNumberFormat="1" applyFont="1" applyFill="1" applyBorder="1" applyAlignment="1">
      <alignment horizontal="center" vertical="center"/>
    </xf>
    <xf numFmtId="0" fontId="5" fillId="2" borderId="11" xfId="0" applyNumberFormat="1" applyFont="1" applyFill="1" applyBorder="1" applyAlignment="1">
      <alignment horizontal="center" vertical="center"/>
    </xf>
    <xf numFmtId="0" fontId="5" fillId="2" borderId="12" xfId="0" applyNumberFormat="1" applyFont="1" applyFill="1" applyBorder="1" applyAlignment="1">
      <alignment horizontal="center" vertical="center"/>
    </xf>
    <xf numFmtId="0" fontId="5" fillId="0" borderId="0" xfId="0" applyFont="1" applyAlignment="1">
      <alignment horizontal="center" vertical="center"/>
    </xf>
    <xf numFmtId="0" fontId="0" fillId="18" borderId="18" xfId="0" applyFill="1" applyBorder="1" applyAlignment="1">
      <alignment horizontal="center"/>
    </xf>
    <xf numFmtId="0" fontId="0" fillId="18" borderId="116" xfId="0" applyFill="1" applyBorder="1" applyAlignment="1">
      <alignment horizontal="center"/>
    </xf>
    <xf numFmtId="0" fontId="0" fillId="18" borderId="2" xfId="0" applyFill="1" applyBorder="1" applyAlignment="1">
      <alignment horizontal="center"/>
    </xf>
    <xf numFmtId="0" fontId="0" fillId="19" borderId="117" xfId="0" applyFill="1" applyBorder="1" applyAlignment="1">
      <alignment horizontal="center"/>
    </xf>
    <xf numFmtId="0" fontId="0" fillId="19" borderId="4" xfId="0" applyFill="1" applyBorder="1" applyAlignment="1">
      <alignment horizontal="center"/>
    </xf>
    <xf numFmtId="0" fontId="0" fillId="19" borderId="118" xfId="0" applyFill="1" applyBorder="1" applyAlignment="1">
      <alignment horizontal="center"/>
    </xf>
    <xf numFmtId="0" fontId="0" fillId="18" borderId="53" xfId="0" applyFill="1" applyBorder="1" applyAlignment="1">
      <alignment horizontal="center"/>
    </xf>
    <xf numFmtId="0" fontId="0" fillId="18" borderId="54" xfId="0" applyFill="1" applyBorder="1" applyAlignment="1">
      <alignment horizontal="center"/>
    </xf>
    <xf numFmtId="0" fontId="0" fillId="18" borderId="55" xfId="0" applyFill="1" applyBorder="1" applyAlignment="1">
      <alignment horizontal="center"/>
    </xf>
    <xf numFmtId="0" fontId="0" fillId="18" borderId="56" xfId="0" applyFill="1" applyBorder="1" applyAlignment="1">
      <alignment horizontal="center"/>
    </xf>
    <xf numFmtId="0" fontId="0" fillId="18" borderId="58" xfId="0" applyFill="1" applyBorder="1" applyAlignment="1">
      <alignment horizontal="center"/>
    </xf>
    <xf numFmtId="0" fontId="0" fillId="18" borderId="60" xfId="0" applyFill="1" applyBorder="1" applyAlignment="1">
      <alignment horizontal="center"/>
    </xf>
    <xf numFmtId="0" fontId="0" fillId="19" borderId="18" xfId="0" applyFill="1" applyBorder="1" applyAlignment="1">
      <alignment horizontal="center"/>
    </xf>
    <xf numFmtId="0" fontId="0" fillId="19" borderId="116" xfId="0" applyFill="1" applyBorder="1" applyAlignment="1">
      <alignment horizontal="center"/>
    </xf>
    <xf numFmtId="0" fontId="0" fillId="19" borderId="119" xfId="0" applyFill="1" applyBorder="1" applyAlignment="1">
      <alignment horizontal="center"/>
    </xf>
    <xf numFmtId="0" fontId="0" fillId="18" borderId="120" xfId="0" applyFill="1" applyBorder="1" applyAlignment="1">
      <alignment horizontal="center"/>
    </xf>
    <xf numFmtId="0" fontId="0" fillId="18" borderId="121" xfId="0" applyFill="1" applyBorder="1" applyAlignment="1">
      <alignment horizontal="center"/>
    </xf>
    <xf numFmtId="0" fontId="0" fillId="18" borderId="122" xfId="0" applyFill="1" applyBorder="1" applyAlignment="1">
      <alignment horizontal="center"/>
    </xf>
    <xf numFmtId="0" fontId="2" fillId="0" borderId="0" xfId="0" applyFont="1" applyAlignment="1">
      <alignment horizontal="center"/>
    </xf>
    <xf numFmtId="0" fontId="11" fillId="0" borderId="15" xfId="0" applyFont="1" applyFill="1" applyBorder="1" applyAlignment="1">
      <alignment horizontal="center" vertical="center"/>
    </xf>
    <xf numFmtId="0" fontId="11" fillId="0" borderId="21" xfId="0" applyFont="1" applyFill="1" applyBorder="1" applyAlignment="1">
      <alignment horizontal="center" vertical="center"/>
    </xf>
    <xf numFmtId="2" fontId="2" fillId="12" borderId="28" xfId="0" applyNumberFormat="1" applyFont="1" applyFill="1" applyBorder="1" applyAlignment="1">
      <alignment horizontal="right"/>
    </xf>
    <xf numFmtId="2" fontId="2" fillId="10" borderId="3" xfId="0" applyNumberFormat="1" applyFont="1" applyFill="1" applyBorder="1" applyAlignment="1">
      <alignment horizontal="right"/>
    </xf>
    <xf numFmtId="2" fontId="2" fillId="8" borderId="3" xfId="0" applyNumberFormat="1" applyFont="1" applyFill="1" applyBorder="1" applyAlignment="1">
      <alignment horizontal="right"/>
    </xf>
    <xf numFmtId="2" fontId="2" fillId="4" borderId="3" xfId="0" applyNumberFormat="1" applyFont="1" applyFill="1" applyBorder="1" applyAlignment="1">
      <alignment horizontal="right"/>
    </xf>
    <xf numFmtId="0" fontId="2" fillId="39" borderId="111" xfId="0" applyFont="1" applyFill="1" applyBorder="1" applyAlignment="1">
      <alignment horizontal="left" vertical="center" wrapText="1"/>
    </xf>
    <xf numFmtId="0" fontId="2" fillId="40" borderId="111" xfId="0" applyFont="1" applyFill="1" applyBorder="1" applyAlignment="1">
      <alignment horizontal="left" vertical="center" wrapText="1"/>
    </xf>
    <xf numFmtId="0" fontId="2" fillId="0" borderId="111" xfId="0" applyFont="1" applyFill="1" applyBorder="1" applyAlignment="1">
      <alignment horizontal="left" vertical="center" wrapText="1"/>
    </xf>
    <xf numFmtId="0" fontId="2" fillId="0" borderId="0" xfId="0" applyFont="1" applyAlignment="1">
      <alignment horizontal="center"/>
    </xf>
    <xf numFmtId="0" fontId="2" fillId="3" borderId="39" xfId="0" applyFont="1" applyFill="1" applyBorder="1" applyAlignment="1">
      <alignment horizontal="center"/>
    </xf>
    <xf numFmtId="0" fontId="2" fillId="3" borderId="40" xfId="0" applyFont="1" applyFill="1" applyBorder="1" applyAlignment="1">
      <alignment horizontal="center"/>
    </xf>
    <xf numFmtId="0" fontId="2" fillId="7" borderId="41" xfId="0" applyFont="1" applyFill="1" applyBorder="1" applyAlignment="1">
      <alignment horizontal="center"/>
    </xf>
    <xf numFmtId="0" fontId="2" fillId="7" borderId="42" xfId="0" applyFont="1" applyFill="1" applyBorder="1" applyAlignment="1">
      <alignment horizontal="center"/>
    </xf>
    <xf numFmtId="0" fontId="2" fillId="9" borderId="22" xfId="0" applyFont="1" applyFill="1" applyBorder="1" applyAlignment="1">
      <alignment horizontal="center"/>
    </xf>
    <xf numFmtId="0" fontId="2" fillId="9" borderId="3" xfId="0" applyFont="1" applyFill="1" applyBorder="1" applyAlignment="1">
      <alignment horizontal="center"/>
    </xf>
    <xf numFmtId="0" fontId="2" fillId="11" borderId="43" xfId="0" applyFont="1" applyFill="1" applyBorder="1" applyAlignment="1">
      <alignment horizontal="center"/>
    </xf>
    <xf numFmtId="0" fontId="2" fillId="11" borderId="45" xfId="0" applyFont="1" applyFill="1" applyBorder="1" applyAlignment="1">
      <alignment horizontal="center"/>
    </xf>
    <xf numFmtId="0" fontId="2" fillId="4" borderId="33" xfId="0" applyFont="1" applyFill="1" applyBorder="1" applyAlignment="1">
      <alignment horizontal="center"/>
    </xf>
    <xf numFmtId="0" fontId="2" fillId="4" borderId="34" xfId="0" applyFont="1" applyFill="1" applyBorder="1" applyAlignment="1">
      <alignment horizontal="center"/>
    </xf>
    <xf numFmtId="0" fontId="2" fillId="15" borderId="35" xfId="0" applyFont="1" applyFill="1" applyBorder="1" applyAlignment="1">
      <alignment horizontal="center"/>
    </xf>
    <xf numFmtId="0" fontId="2" fillId="15" borderId="36" xfId="0" applyFont="1" applyFill="1" applyBorder="1" applyAlignment="1">
      <alignment horizontal="center"/>
    </xf>
    <xf numFmtId="0" fontId="2" fillId="16" borderId="37" xfId="0" applyFont="1" applyFill="1" applyBorder="1" applyAlignment="1">
      <alignment horizontal="center"/>
    </xf>
    <xf numFmtId="0" fontId="2" fillId="16" borderId="32" xfId="0" applyFont="1" applyFill="1" applyBorder="1" applyAlignment="1">
      <alignment horizontal="center"/>
    </xf>
    <xf numFmtId="0" fontId="2" fillId="17" borderId="38" xfId="0" applyFont="1" applyFill="1" applyBorder="1" applyAlignment="1">
      <alignment horizontal="center"/>
    </xf>
    <xf numFmtId="0" fontId="2" fillId="17" borderId="44" xfId="0" applyFont="1" applyFill="1" applyBorder="1" applyAlignment="1">
      <alignment horizontal="center"/>
    </xf>
    <xf numFmtId="0" fontId="2" fillId="0" borderId="0" xfId="0" applyFont="1" applyFill="1" applyAlignment="1">
      <alignment horizontal="center"/>
    </xf>
    <xf numFmtId="0" fontId="23" fillId="0" borderId="2" xfId="0" applyFont="1" applyBorder="1" applyAlignment="1">
      <alignment horizontal="center" vertical="center"/>
    </xf>
    <xf numFmtId="0" fontId="23" fillId="0" borderId="0" xfId="0" applyFont="1" applyBorder="1" applyAlignment="1">
      <alignment horizontal="center" vertical="center"/>
    </xf>
    <xf numFmtId="0" fontId="11" fillId="0" borderId="0" xfId="0" applyFont="1" applyBorder="1" applyAlignment="1">
      <alignment horizontal="center" vertical="center"/>
    </xf>
    <xf numFmtId="0" fontId="11" fillId="17" borderId="30" xfId="0" applyFont="1" applyFill="1" applyBorder="1" applyAlignment="1">
      <alignment horizontal="center" vertical="center"/>
    </xf>
    <xf numFmtId="0" fontId="11" fillId="17" borderId="31" xfId="0" applyFont="1" applyFill="1" applyBorder="1" applyAlignment="1">
      <alignment horizontal="center" vertical="center"/>
    </xf>
    <xf numFmtId="0" fontId="4" fillId="36" borderId="1" xfId="0" applyFont="1" applyFill="1" applyBorder="1" applyAlignment="1">
      <alignment horizontal="center"/>
    </xf>
    <xf numFmtId="0" fontId="4" fillId="36" borderId="6" xfId="0" applyFont="1" applyFill="1" applyBorder="1" applyAlignment="1">
      <alignment horizontal="center"/>
    </xf>
    <xf numFmtId="0" fontId="4" fillId="35" borderId="16" xfId="0" applyFont="1" applyFill="1" applyBorder="1" applyAlignment="1">
      <alignment horizontal="center"/>
    </xf>
    <xf numFmtId="0" fontId="4" fillId="35" borderId="1" xfId="0" applyFont="1" applyFill="1" applyBorder="1" applyAlignment="1">
      <alignment horizontal="center"/>
    </xf>
    <xf numFmtId="0" fontId="4" fillId="35" borderId="6" xfId="0" applyFont="1" applyFill="1" applyBorder="1" applyAlignment="1">
      <alignment horizontal="center"/>
    </xf>
    <xf numFmtId="0" fontId="11" fillId="0" borderId="30" xfId="0" applyFont="1" applyBorder="1" applyAlignment="1">
      <alignment horizontal="center" vertical="center"/>
    </xf>
    <xf numFmtId="0" fontId="4" fillId="34" borderId="16" xfId="0" applyFont="1" applyFill="1" applyBorder="1" applyAlignment="1">
      <alignment horizontal="center"/>
    </xf>
    <xf numFmtId="0" fontId="4" fillId="34" borderId="1" xfId="0" applyFont="1" applyFill="1" applyBorder="1" applyAlignment="1">
      <alignment horizontal="center"/>
    </xf>
    <xf numFmtId="0" fontId="4" fillId="34" borderId="26" xfId="0" applyFont="1" applyFill="1" applyBorder="1" applyAlignment="1">
      <alignment horizontal="center"/>
    </xf>
    <xf numFmtId="0" fontId="11" fillId="4" borderId="49" xfId="0" applyFont="1" applyFill="1" applyBorder="1" applyAlignment="1">
      <alignment horizontal="center" vertical="center"/>
    </xf>
    <xf numFmtId="0" fontId="11" fillId="4" borderId="75" xfId="0" applyFont="1" applyFill="1" applyBorder="1" applyAlignment="1">
      <alignment horizontal="center" vertical="center"/>
    </xf>
    <xf numFmtId="0" fontId="11" fillId="15" borderId="51" xfId="0" applyFont="1" applyFill="1" applyBorder="1" applyAlignment="1">
      <alignment horizontal="center" vertical="center"/>
    </xf>
    <xf numFmtId="0" fontId="11" fillId="15" borderId="30" xfId="0" applyFont="1" applyFill="1" applyBorder="1" applyAlignment="1">
      <alignment horizontal="center" vertical="center"/>
    </xf>
    <xf numFmtId="0" fontId="11" fillId="15" borderId="75" xfId="0" applyFont="1" applyFill="1" applyBorder="1" applyAlignment="1">
      <alignment horizontal="center" vertical="center"/>
    </xf>
    <xf numFmtId="0" fontId="11" fillId="16" borderId="51" xfId="0" applyFont="1" applyFill="1" applyBorder="1" applyAlignment="1">
      <alignment horizontal="center" vertical="center"/>
    </xf>
    <xf numFmtId="0" fontId="11" fillId="16" borderId="30" xfId="0" applyFont="1" applyFill="1" applyBorder="1" applyAlignment="1">
      <alignment horizontal="center" vertical="center"/>
    </xf>
    <xf numFmtId="0" fontId="11" fillId="16" borderId="75" xfId="0" applyFont="1" applyFill="1" applyBorder="1" applyAlignment="1">
      <alignment horizontal="center" vertical="center"/>
    </xf>
    <xf numFmtId="0" fontId="31" fillId="0" borderId="79" xfId="0" applyFont="1" applyBorder="1" applyAlignment="1">
      <alignment horizontal="center" vertical="center" textRotation="90"/>
    </xf>
    <xf numFmtId="0" fontId="31" fillId="0" borderId="21" xfId="0" applyFont="1" applyBorder="1" applyAlignment="1">
      <alignment horizontal="center" vertical="center" textRotation="90"/>
    </xf>
    <xf numFmtId="0" fontId="31" fillId="0" borderId="25" xfId="0" applyFont="1" applyBorder="1" applyAlignment="1">
      <alignment horizontal="center" vertical="center" textRotation="90"/>
    </xf>
    <xf numFmtId="0" fontId="31" fillId="0" borderId="79" xfId="0" applyFont="1" applyFill="1" applyBorder="1" applyAlignment="1">
      <alignment horizontal="center" vertical="center" textRotation="90"/>
    </xf>
    <xf numFmtId="0" fontId="31" fillId="0" borderId="21" xfId="0" applyFont="1" applyFill="1" applyBorder="1" applyAlignment="1">
      <alignment horizontal="center" vertical="center" textRotation="90"/>
    </xf>
    <xf numFmtId="0" fontId="31" fillId="0" borderId="25" xfId="0" applyFont="1" applyFill="1" applyBorder="1" applyAlignment="1">
      <alignment horizontal="center" vertical="center" textRotation="90"/>
    </xf>
  </cellXfs>
  <cellStyles count="2">
    <cellStyle name="Hyperlink" xfId="1" builtinId="8"/>
    <cellStyle name="Normal" xfId="0" builtinId="0"/>
  </cellStyles>
  <dxfs count="0"/>
  <tableStyles count="0" defaultTableStyle="TableStyleMedium2"/>
  <colors>
    <mruColors>
      <color rgb="FFC9DBFF"/>
      <color rgb="FFFFFFCC"/>
      <color rgb="FFBCBCBC"/>
      <color rgb="FFD1D1D1"/>
      <color rgb="FFDCDCDC"/>
      <color rgb="FFFFDDFF"/>
      <color rgb="FFFFCCCC"/>
      <color rgb="FFCCFFCC"/>
      <color rgb="FFAFFFAF"/>
      <color rgb="FFFFB7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Properties!$B$11</c:f>
          <c:strCache>
            <c:ptCount val="1"/>
            <c:pt idx="0">
              <c:v>Deflection</c:v>
            </c:pt>
          </c:strCache>
        </c:strRef>
      </c:tx>
      <c:layout>
        <c:manualLayout>
          <c:xMode val="edge"/>
          <c:yMode val="edge"/>
          <c:x val="0.46863800058169952"/>
          <c:y val="4.037806637806638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‘All Data'</c:v>
          </c:tx>
          <c:spPr>
            <a:ln w="2540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Data'!$C$3:$C$303</c:f>
              <c:numCache>
                <c:formatCode>General</c:formatCode>
                <c:ptCount val="301"/>
                <c:pt idx="0">
                  <c:v>0</c:v>
                </c:pt>
                <c:pt idx="1">
                  <c:v>-4.2869603558009362E-4</c:v>
                </c:pt>
                <c:pt idx="2">
                  <c:v>-1.7042404723564145E-3</c:v>
                </c:pt>
                <c:pt idx="3">
                  <c:v>-3.8108178053830226E-3</c:v>
                </c:pt>
                <c:pt idx="4">
                  <c:v>-6.7326125297139799E-3</c:v>
                </c:pt>
                <c:pt idx="5">
                  <c:v>-1.0453809140403345E-2</c:v>
                </c:pt>
                <c:pt idx="6">
                  <c:v>-1.4958592132505177E-2</c:v>
                </c:pt>
                <c:pt idx="7">
                  <c:v>-2.0231146001073542E-2</c:v>
                </c:pt>
                <c:pt idx="8">
                  <c:v>-2.6255655241162492E-2</c:v>
                </c:pt>
                <c:pt idx="9">
                  <c:v>-3.3016304347826084E-2</c:v>
                </c:pt>
                <c:pt idx="10">
                  <c:v>-4.0497277816118407E-2</c:v>
                </c:pt>
                <c:pt idx="11">
                  <c:v>-4.8682760141093476E-2</c:v>
                </c:pt>
                <c:pt idx="12">
                  <c:v>-5.7556935817805382E-2</c:v>
                </c:pt>
                <c:pt idx="13">
                  <c:v>-6.7103989341308193E-2</c:v>
                </c:pt>
                <c:pt idx="14">
                  <c:v>-7.7308105206655944E-2</c:v>
                </c:pt>
                <c:pt idx="15">
                  <c:v>-8.8153467908902688E-2</c:v>
                </c:pt>
                <c:pt idx="16">
                  <c:v>-9.9624261943102532E-2</c:v>
                </c:pt>
                <c:pt idx="17">
                  <c:v>-0.11170467180430951</c:v>
                </c:pt>
                <c:pt idx="18">
                  <c:v>-0.12437888198757763</c:v>
                </c:pt>
                <c:pt idx="19">
                  <c:v>-0.13763107698796107</c:v>
                </c:pt>
                <c:pt idx="20">
                  <c:v>-0.15144544130051379</c:v>
                </c:pt>
                <c:pt idx="21">
                  <c:v>-0.16580615942028984</c:v>
                </c:pt>
                <c:pt idx="22">
                  <c:v>-0.18069741584234339</c:v>
                </c:pt>
                <c:pt idx="23">
                  <c:v>-0.19610339506172841</c:v>
                </c:pt>
                <c:pt idx="24">
                  <c:v>-0.21200828157349896</c:v>
                </c:pt>
                <c:pt idx="25">
                  <c:v>-0.22839625987270917</c:v>
                </c:pt>
                <c:pt idx="26">
                  <c:v>-0.24525151445441304</c:v>
                </c:pt>
                <c:pt idx="27">
                  <c:v>-0.26255822981366461</c:v>
                </c:pt>
                <c:pt idx="28">
                  <c:v>-0.28030059044551803</c:v>
                </c:pt>
                <c:pt idx="29">
                  <c:v>-0.2984627808450272</c:v>
                </c:pt>
                <c:pt idx="30">
                  <c:v>-0.3170289855072464</c:v>
                </c:pt>
                <c:pt idx="31">
                  <c:v>-0.33598338892722956</c:v>
                </c:pt>
                <c:pt idx="32">
                  <c:v>-0.3553101756000307</c:v>
                </c:pt>
                <c:pt idx="33">
                  <c:v>-0.37499353002070396</c:v>
                </c:pt>
                <c:pt idx="34">
                  <c:v>-0.39501763668430345</c:v>
                </c:pt>
                <c:pt idx="35">
                  <c:v>-0.41536668008588296</c:v>
                </c:pt>
                <c:pt idx="36">
                  <c:v>-0.43602484472049685</c:v>
                </c:pt>
                <c:pt idx="37">
                  <c:v>-0.45697631508319919</c:v>
                </c:pt>
                <c:pt idx="38">
                  <c:v>-0.47820527566904381</c:v>
                </c:pt>
                <c:pt idx="39">
                  <c:v>-0.47820527566904381</c:v>
                </c:pt>
                <c:pt idx="40">
                  <c:v>-0.52143240549037662</c:v>
                </c:pt>
                <c:pt idx="41">
                  <c:v>-0.54339894371597264</c:v>
                </c:pt>
                <c:pt idx="42">
                  <c:v>-0.56557971014492758</c:v>
                </c:pt>
                <c:pt idx="43">
                  <c:v>-0.587958889272295</c:v>
                </c:pt>
                <c:pt idx="44">
                  <c:v>-0.61052066559312945</c:v>
                </c:pt>
                <c:pt idx="45">
                  <c:v>-0.63324922360248459</c:v>
                </c:pt>
                <c:pt idx="46">
                  <c:v>-0.65612874779541452</c:v>
                </c:pt>
                <c:pt idx="47">
                  <c:v>-0.67914342266697347</c:v>
                </c:pt>
                <c:pt idx="48">
                  <c:v>-0.70227743271221532</c:v>
                </c:pt>
                <c:pt idx="49">
                  <c:v>-0.7255149624261944</c:v>
                </c:pt>
                <c:pt idx="50">
                  <c:v>-0.74884019630396448</c:v>
                </c:pt>
                <c:pt idx="51">
                  <c:v>-0.77223731884057978</c:v>
                </c:pt>
                <c:pt idx="52">
                  <c:v>-0.79569051453109441</c:v>
                </c:pt>
                <c:pt idx="53">
                  <c:v>-0.81918396787056214</c:v>
                </c:pt>
                <c:pt idx="54">
                  <c:v>-0.84270186335403729</c:v>
                </c:pt>
                <c:pt idx="55">
                  <c:v>-0.86622838547657399</c:v>
                </c:pt>
                <c:pt idx="56">
                  <c:v>-0.88974771873322611</c:v>
                </c:pt>
                <c:pt idx="57">
                  <c:v>-0.91324404761904754</c:v>
                </c:pt>
                <c:pt idx="58">
                  <c:v>-0.93670155662909282</c:v>
                </c:pt>
                <c:pt idx="59">
                  <c:v>-0.96010443025841574</c:v>
                </c:pt>
                <c:pt idx="60">
                  <c:v>-0.98343685300207051</c:v>
                </c:pt>
                <c:pt idx="61">
                  <c:v>-1.0066830093551109</c:v>
                </c:pt>
                <c:pt idx="62">
                  <c:v>-1.0298270838125911</c:v>
                </c:pt>
                <c:pt idx="63">
                  <c:v>-1.0528532608695653</c:v>
                </c:pt>
                <c:pt idx="64">
                  <c:v>-1.0757457250210876</c:v>
                </c:pt>
                <c:pt idx="65">
                  <c:v>-1.0984886607622117</c:v>
                </c:pt>
                <c:pt idx="66">
                  <c:v>-1.1210662525879918</c:v>
                </c:pt>
                <c:pt idx="67">
                  <c:v>-1.1434626849934824</c:v>
                </c:pt>
                <c:pt idx="68">
                  <c:v>-1.165662142473737</c:v>
                </c:pt>
                <c:pt idx="69">
                  <c:v>-1.1876488095238096</c:v>
                </c:pt>
                <c:pt idx="70">
                  <c:v>-1.2094068706387546</c:v>
                </c:pt>
                <c:pt idx="71">
                  <c:v>-1.2309205103136263</c:v>
                </c:pt>
                <c:pt idx="72">
                  <c:v>-1.2521739130434781</c:v>
                </c:pt>
                <c:pt idx="73">
                  <c:v>-1.2731512633233646</c:v>
                </c:pt>
                <c:pt idx="74">
                  <c:v>-1.2938367456483402</c:v>
                </c:pt>
                <c:pt idx="75">
                  <c:v>-1.3142145445134576</c:v>
                </c:pt>
                <c:pt idx="76">
                  <c:v>-1.334268844413772</c:v>
                </c:pt>
                <c:pt idx="77">
                  <c:v>-1.3539838298443372</c:v>
                </c:pt>
                <c:pt idx="78">
                  <c:v>-1.3733436853002072</c:v>
                </c:pt>
                <c:pt idx="79">
                  <c:v>-1.392332595276436</c:v>
                </c:pt>
                <c:pt idx="80">
                  <c:v>-1.410934744268078</c:v>
                </c:pt>
                <c:pt idx="81">
                  <c:v>-1.4291343167701867</c:v>
                </c:pt>
                <c:pt idx="82">
                  <c:v>-1.4469154972778162</c:v>
                </c:pt>
                <c:pt idx="83">
                  <c:v>-1.4642624702860212</c:v>
                </c:pt>
                <c:pt idx="84">
                  <c:v>-1.4811594202898553</c:v>
                </c:pt>
                <c:pt idx="85">
                  <c:v>-1.4975905317843723</c:v>
                </c:pt>
                <c:pt idx="86">
                  <c:v>-1.5135399892646269</c:v>
                </c:pt>
                <c:pt idx="87">
                  <c:v>-1.5289919772256728</c:v>
                </c:pt>
                <c:pt idx="88">
                  <c:v>-1.5439306801625645</c:v>
                </c:pt>
                <c:pt idx="89">
                  <c:v>-1.558340282570355</c:v>
                </c:pt>
                <c:pt idx="90">
                  <c:v>-1.5722049689440998</c:v>
                </c:pt>
                <c:pt idx="91">
                  <c:v>-1.5855089237788513</c:v>
                </c:pt>
                <c:pt idx="92">
                  <c:v>-1.5982363315696655</c:v>
                </c:pt>
                <c:pt idx="93">
                  <c:v>-1.6103713768115946</c:v>
                </c:pt>
                <c:pt idx="94">
                  <c:v>-1.6218982439996936</c:v>
                </c:pt>
                <c:pt idx="95">
                  <c:v>-1.6328011176290169</c:v>
                </c:pt>
                <c:pt idx="96">
                  <c:v>-1.643064182194617</c:v>
                </c:pt>
                <c:pt idx="97">
                  <c:v>-1.6526716221915505</c:v>
                </c:pt>
                <c:pt idx="98">
                  <c:v>-1.661607622114869</c:v>
                </c:pt>
                <c:pt idx="99">
                  <c:v>-1.6698563664596278</c:v>
                </c:pt>
                <c:pt idx="100">
                  <c:v>-1.6774020397208806</c:v>
                </c:pt>
                <c:pt idx="101">
                  <c:v>-1.6842326604554867</c:v>
                </c:pt>
                <c:pt idx="102">
                  <c:v>-1.6903515834675256</c:v>
                </c:pt>
                <c:pt idx="103">
                  <c:v>-1.6957659976228823</c:v>
                </c:pt>
                <c:pt idx="104">
                  <c:v>-1.7004830917874385</c:v>
                </c:pt>
                <c:pt idx="105">
                  <c:v>-1.7045100548270835</c:v>
                </c:pt>
                <c:pt idx="106">
                  <c:v>-1.7078540756076972</c:v>
                </c:pt>
                <c:pt idx="107">
                  <c:v>-1.7105223429951688</c:v>
                </c:pt>
                <c:pt idx="108">
                  <c:v>-1.7125220458553796</c:v>
                </c:pt>
                <c:pt idx="109">
                  <c:v>-1.713860373054215</c:v>
                </c:pt>
                <c:pt idx="110">
                  <c:v>-1.7145445134575583</c:v>
                </c:pt>
                <c:pt idx="111">
                  <c:v>-1.7145816559312932</c:v>
                </c:pt>
                <c:pt idx="112">
                  <c:v>-1.7139789893413089</c:v>
                </c:pt>
                <c:pt idx="113">
                  <c:v>-1.7127437025534842</c:v>
                </c:pt>
                <c:pt idx="114">
                  <c:v>-1.7108829844337095</c:v>
                </c:pt>
                <c:pt idx="115">
                  <c:v>-1.7084040238478644</c:v>
                </c:pt>
                <c:pt idx="116">
                  <c:v>-1.7053140096618353</c:v>
                </c:pt>
                <c:pt idx="117">
                  <c:v>-1.7016201307415086</c:v>
                </c:pt>
                <c:pt idx="118">
                  <c:v>-1.6973295759527642</c:v>
                </c:pt>
                <c:pt idx="119">
                  <c:v>-1.69244953416149</c:v>
                </c:pt>
                <c:pt idx="120">
                  <c:v>-1.6869871942335704</c:v>
                </c:pt>
                <c:pt idx="121">
                  <c:v>-1.6809497450348894</c:v>
                </c:pt>
                <c:pt idx="122">
                  <c:v>-1.6743443754313319</c:v>
                </c:pt>
                <c:pt idx="123">
                  <c:v>-1.6671782742887813</c:v>
                </c:pt>
                <c:pt idx="124">
                  <c:v>-1.6594586304731234</c:v>
                </c:pt>
                <c:pt idx="125">
                  <c:v>-1.6511926328502402</c:v>
                </c:pt>
                <c:pt idx="126">
                  <c:v>-1.6423874702860193</c:v>
                </c:pt>
                <c:pt idx="127">
                  <c:v>-1.6330503316463458</c:v>
                </c:pt>
                <c:pt idx="128">
                  <c:v>-1.6231884057971002</c:v>
                </c:pt>
                <c:pt idx="129">
                  <c:v>-1.6128088816041712</c:v>
                </c:pt>
                <c:pt idx="130">
                  <c:v>-1.6019189479334406</c:v>
                </c:pt>
                <c:pt idx="131">
                  <c:v>-1.5905257936507935</c:v>
                </c:pt>
                <c:pt idx="132">
                  <c:v>-1.5786366076221152</c:v>
                </c:pt>
                <c:pt idx="133">
                  <c:v>-1.5662585787132888</c:v>
                </c:pt>
                <c:pt idx="134">
                  <c:v>-1.553398895790199</c:v>
                </c:pt>
                <c:pt idx="135">
                  <c:v>-1.5400647477187324</c:v>
                </c:pt>
                <c:pt idx="136">
                  <c:v>-1.5262633233647738</c:v>
                </c:pt>
                <c:pt idx="137">
                  <c:v>-1.5120018115942035</c:v>
                </c:pt>
                <c:pt idx="138">
                  <c:v>-1.49728740127291</c:v>
                </c:pt>
                <c:pt idx="139">
                  <c:v>-1.4821272812667727</c:v>
                </c:pt>
                <c:pt idx="140">
                  <c:v>-1.4665286404416822</c:v>
                </c:pt>
                <c:pt idx="141">
                  <c:v>-1.4504986676635214</c:v>
                </c:pt>
                <c:pt idx="142">
                  <c:v>-1.4340445517981735</c:v>
                </c:pt>
                <c:pt idx="143">
                  <c:v>-1.417173481711528</c:v>
                </c:pt>
                <c:pt idx="144">
                  <c:v>-1.3998926462694592</c:v>
                </c:pt>
                <c:pt idx="145">
                  <c:v>-1.382209234337858</c:v>
                </c:pt>
                <c:pt idx="146">
                  <c:v>-1.364130434782612</c:v>
                </c:pt>
                <c:pt idx="147">
                  <c:v>-1.345663436469597</c:v>
                </c:pt>
                <c:pt idx="148">
                  <c:v>-1.3268154282647053</c:v>
                </c:pt>
                <c:pt idx="149">
                  <c:v>-1.3075935990338174</c:v>
                </c:pt>
                <c:pt idx="150">
                  <c:v>-1.2880051376428199</c:v>
                </c:pt>
                <c:pt idx="151">
                  <c:v>-1.2680572329575943</c:v>
                </c:pt>
                <c:pt idx="152">
                  <c:v>-1.2477570738440331</c:v>
                </c:pt>
                <c:pt idx="153">
                  <c:v>-1.2271118491680104</c:v>
                </c:pt>
                <c:pt idx="154">
                  <c:v>-1.2061287477954163</c:v>
                </c:pt>
                <c:pt idx="155">
                  <c:v>-1.1848149585921322</c:v>
                </c:pt>
                <c:pt idx="156">
                  <c:v>-1.163177670424048</c:v>
                </c:pt>
                <c:pt idx="157">
                  <c:v>-1.1412240721570406</c:v>
                </c:pt>
                <c:pt idx="158">
                  <c:v>-1.1189613526570028</c:v>
                </c:pt>
                <c:pt idx="159">
                  <c:v>-1.0963967007898177</c:v>
                </c:pt>
                <c:pt idx="160">
                  <c:v>-1.0735373054213602</c:v>
                </c:pt>
                <c:pt idx="161">
                  <c:v>-1.0503903554175276</c:v>
                </c:pt>
                <c:pt idx="162">
                  <c:v>-1.0269630396441976</c:v>
                </c:pt>
                <c:pt idx="163">
                  <c:v>-1.0032625469672549</c:v>
                </c:pt>
                <c:pt idx="164">
                  <c:v>-0.97929606625258536</c:v>
                </c:pt>
                <c:pt idx="165">
                  <c:v>-0.95507078636607812</c:v>
                </c:pt>
                <c:pt idx="166">
                  <c:v>-0.93059389617360644</c:v>
                </c:pt>
                <c:pt idx="167">
                  <c:v>-0.9058725845410649</c:v>
                </c:pt>
                <c:pt idx="168">
                  <c:v>-0.88091404033433029</c:v>
                </c:pt>
                <c:pt idx="169">
                  <c:v>-0.85572545241929543</c:v>
                </c:pt>
                <c:pt idx="170">
                  <c:v>-0.83031400966183622</c:v>
                </c:pt>
                <c:pt idx="171">
                  <c:v>-0.80468690092784545</c:v>
                </c:pt>
                <c:pt idx="172">
                  <c:v>-0.77885131508320082</c:v>
                </c:pt>
                <c:pt idx="173">
                  <c:v>-0.75281444099378803</c:v>
                </c:pt>
                <c:pt idx="174">
                  <c:v>-0.72658346752549541</c:v>
                </c:pt>
                <c:pt idx="175">
                  <c:v>-0.70016558354420599</c:v>
                </c:pt>
                <c:pt idx="176">
                  <c:v>-0.6735679779158037</c:v>
                </c:pt>
                <c:pt idx="177">
                  <c:v>-0.64679783950617153</c:v>
                </c:pt>
                <c:pt idx="178">
                  <c:v>-0.61986235718119875</c:v>
                </c:pt>
                <c:pt idx="179">
                  <c:v>-0.59276871980676304</c:v>
                </c:pt>
                <c:pt idx="180">
                  <c:v>-0.56552411624875454</c:v>
                </c:pt>
                <c:pt idx="181">
                  <c:v>-0.53813573537305448</c:v>
                </c:pt>
                <c:pt idx="182">
                  <c:v>-0.51061076604554767</c:v>
                </c:pt>
                <c:pt idx="183">
                  <c:v>-0.48295639713212157</c:v>
                </c:pt>
                <c:pt idx="184">
                  <c:v>-0.45517981749865655</c:v>
                </c:pt>
                <c:pt idx="185">
                  <c:v>-0.42728821601104272</c:v>
                </c:pt>
                <c:pt idx="186">
                  <c:v>-0.39928878153515956</c:v>
                </c:pt>
                <c:pt idx="187">
                  <c:v>-0.37118870293688833</c:v>
                </c:pt>
                <c:pt idx="188">
                  <c:v>-0.34299516908212713</c:v>
                </c:pt>
                <c:pt idx="189">
                  <c:v>-0.31471536883674212</c:v>
                </c:pt>
                <c:pt idx="190">
                  <c:v>-0.28635649106663585</c:v>
                </c:pt>
                <c:pt idx="191">
                  <c:v>-0.25792572463767982</c:v>
                </c:pt>
                <c:pt idx="192">
                  <c:v>-0.22943025841576414</c:v>
                </c:pt>
                <c:pt idx="193">
                  <c:v>-0.20087728126677185</c:v>
                </c:pt>
                <c:pt idx="194">
                  <c:v>-0.17227398205659306</c:v>
                </c:pt>
                <c:pt idx="195">
                  <c:v>-0.14362754965110192</c:v>
                </c:pt>
                <c:pt idx="196">
                  <c:v>-0.11494517291618678</c:v>
                </c:pt>
                <c:pt idx="197">
                  <c:v>-8.6234040717735994E-2</c:v>
                </c:pt>
                <c:pt idx="198">
                  <c:v>-5.7501341921632587E-2</c:v>
                </c:pt>
                <c:pt idx="199">
                  <c:v>-2.8754265393757805E-2</c:v>
                </c:pt>
                <c:pt idx="200">
                  <c:v>0</c:v>
                </c:pt>
                <c:pt idx="201">
                  <c:v>5.7510927076144469E-2</c:v>
                </c:pt>
                <c:pt idx="202">
                  <c:v>0.11502185415228894</c:v>
                </c:pt>
                <c:pt idx="203">
                  <c:v>0.17253278122843341</c:v>
                </c:pt>
                <c:pt idx="204">
                  <c:v>0.23004370830457788</c:v>
                </c:pt>
                <c:pt idx="205">
                  <c:v>0.28755463538072235</c:v>
                </c:pt>
                <c:pt idx="206">
                  <c:v>0.34506556245686681</c:v>
                </c:pt>
                <c:pt idx="207">
                  <c:v>0.40257648953301128</c:v>
                </c:pt>
                <c:pt idx="208">
                  <c:v>0.46008741660915664</c:v>
                </c:pt>
                <c:pt idx="209">
                  <c:v>0.51759834368530111</c:v>
                </c:pt>
                <c:pt idx="210">
                  <c:v>0.57510927076144558</c:v>
                </c:pt>
                <c:pt idx="211">
                  <c:v>0.63262019783759005</c:v>
                </c:pt>
                <c:pt idx="212">
                  <c:v>0.69013112491373452</c:v>
                </c:pt>
                <c:pt idx="213">
                  <c:v>0.74764205198987721</c:v>
                </c:pt>
                <c:pt idx="214">
                  <c:v>0.80515297906602346</c:v>
                </c:pt>
                <c:pt idx="215">
                  <c:v>0.86266390614216704</c:v>
                </c:pt>
                <c:pt idx="216">
                  <c:v>0.92017483321831151</c:v>
                </c:pt>
                <c:pt idx="217">
                  <c:v>0.97768576029445597</c:v>
                </c:pt>
                <c:pt idx="218">
                  <c:v>1.0351966873706004</c:v>
                </c:pt>
                <c:pt idx="219">
                  <c:v>1.0927076144467449</c:v>
                </c:pt>
                <c:pt idx="220">
                  <c:v>1.1502185415228894</c:v>
                </c:pt>
                <c:pt idx="221">
                  <c:v>1.2077294685990339</c:v>
                </c:pt>
                <c:pt idx="222">
                  <c:v>1.2652403956751783</c:v>
                </c:pt>
                <c:pt idx="223">
                  <c:v>1.3227513227513228</c:v>
                </c:pt>
                <c:pt idx="224">
                  <c:v>1.3802622498274673</c:v>
                </c:pt>
                <c:pt idx="225">
                  <c:v>1.4377731769036117</c:v>
                </c:pt>
                <c:pt idx="226">
                  <c:v>1.4952841039797562</c:v>
                </c:pt>
                <c:pt idx="227">
                  <c:v>1.5527950310559007</c:v>
                </c:pt>
                <c:pt idx="228">
                  <c:v>1.6103059581320451</c:v>
                </c:pt>
                <c:pt idx="229">
                  <c:v>1.6678168852081905</c:v>
                </c:pt>
                <c:pt idx="230">
                  <c:v>1.725327812284335</c:v>
                </c:pt>
                <c:pt idx="231">
                  <c:v>1.7828387393604794</c:v>
                </c:pt>
                <c:pt idx="232">
                  <c:v>1.8403496664366239</c:v>
                </c:pt>
                <c:pt idx="233">
                  <c:v>1.8978605935127684</c:v>
                </c:pt>
                <c:pt idx="234">
                  <c:v>1.9553715205889128</c:v>
                </c:pt>
                <c:pt idx="235">
                  <c:v>2.0128824476650573</c:v>
                </c:pt>
                <c:pt idx="236">
                  <c:v>2.0703933747412009</c:v>
                </c:pt>
                <c:pt idx="237">
                  <c:v>2.1279043018173462</c:v>
                </c:pt>
                <c:pt idx="238">
                  <c:v>2.1854152288934898</c:v>
                </c:pt>
                <c:pt idx="239">
                  <c:v>2.2429261559696352</c:v>
                </c:pt>
                <c:pt idx="240">
                  <c:v>2.3004370830457779</c:v>
                </c:pt>
                <c:pt idx="241">
                  <c:v>2.3579480101219223</c:v>
                </c:pt>
                <c:pt idx="242">
                  <c:v>2.4154589371980668</c:v>
                </c:pt>
                <c:pt idx="243">
                  <c:v>2.4729698642742131</c:v>
                </c:pt>
                <c:pt idx="244">
                  <c:v>2.5304807913503575</c:v>
                </c:pt>
                <c:pt idx="245">
                  <c:v>2.587991718426502</c:v>
                </c:pt>
                <c:pt idx="246">
                  <c:v>2.6455026455026465</c:v>
                </c:pt>
                <c:pt idx="247">
                  <c:v>2.7030135725787909</c:v>
                </c:pt>
                <c:pt idx="248">
                  <c:v>2.7605244996549354</c:v>
                </c:pt>
                <c:pt idx="249">
                  <c:v>2.8180354267310799</c:v>
                </c:pt>
                <c:pt idx="250">
                  <c:v>2.8755463538072243</c:v>
                </c:pt>
                <c:pt idx="251">
                  <c:v>2.9330572808833688</c:v>
                </c:pt>
                <c:pt idx="252">
                  <c:v>2.9905682079595133</c:v>
                </c:pt>
                <c:pt idx="253">
                  <c:v>3.0480791350356577</c:v>
                </c:pt>
                <c:pt idx="254">
                  <c:v>3.1055900621118022</c:v>
                </c:pt>
                <c:pt idx="255">
                  <c:v>3.1631009891879467</c:v>
                </c:pt>
                <c:pt idx="256">
                  <c:v>3.2206119162640912</c:v>
                </c:pt>
                <c:pt idx="257">
                  <c:v>3.2781228433402338</c:v>
                </c:pt>
                <c:pt idx="258">
                  <c:v>3.3356337704163801</c:v>
                </c:pt>
                <c:pt idx="259">
                  <c:v>3.3931446974925228</c:v>
                </c:pt>
                <c:pt idx="260">
                  <c:v>3.450655624568669</c:v>
                </c:pt>
                <c:pt idx="261">
                  <c:v>3.5081665516448117</c:v>
                </c:pt>
                <c:pt idx="262">
                  <c:v>3.565677478720958</c:v>
                </c:pt>
                <c:pt idx="263">
                  <c:v>3.6231884057971007</c:v>
                </c:pt>
                <c:pt idx="264">
                  <c:v>3.6806993328732469</c:v>
                </c:pt>
                <c:pt idx="265">
                  <c:v>3.7382102599493914</c:v>
                </c:pt>
                <c:pt idx="266">
                  <c:v>3.7957211870255358</c:v>
                </c:pt>
                <c:pt idx="267">
                  <c:v>3.8532321141016803</c:v>
                </c:pt>
                <c:pt idx="268">
                  <c:v>3.9107430411778248</c:v>
                </c:pt>
                <c:pt idx="269">
                  <c:v>3.9682539682539693</c:v>
                </c:pt>
                <c:pt idx="270">
                  <c:v>4.0257648953301137</c:v>
                </c:pt>
                <c:pt idx="271">
                  <c:v>4.0832758224062582</c:v>
                </c:pt>
                <c:pt idx="272">
                  <c:v>4.1407867494824027</c:v>
                </c:pt>
                <c:pt idx="273">
                  <c:v>4.1982976765585471</c:v>
                </c:pt>
                <c:pt idx="274">
                  <c:v>4.2558086036346916</c:v>
                </c:pt>
                <c:pt idx="275">
                  <c:v>4.3133195307108361</c:v>
                </c:pt>
                <c:pt idx="276">
                  <c:v>4.3708304577869805</c:v>
                </c:pt>
                <c:pt idx="277">
                  <c:v>4.428341384863125</c:v>
                </c:pt>
                <c:pt idx="278">
                  <c:v>4.4858523119392695</c:v>
                </c:pt>
                <c:pt idx="279">
                  <c:v>4.5433632390154139</c:v>
                </c:pt>
                <c:pt idx="280">
                  <c:v>4.6008741660915584</c:v>
                </c:pt>
                <c:pt idx="281">
                  <c:v>4.6583850931677029</c:v>
                </c:pt>
                <c:pt idx="282">
                  <c:v>4.7158960202438456</c:v>
                </c:pt>
                <c:pt idx="283">
                  <c:v>4.7734069473199918</c:v>
                </c:pt>
                <c:pt idx="284">
                  <c:v>4.8309178743961345</c:v>
                </c:pt>
                <c:pt idx="285">
                  <c:v>4.8884288014722808</c:v>
                </c:pt>
                <c:pt idx="286">
                  <c:v>4.9459397285484252</c:v>
                </c:pt>
                <c:pt idx="287">
                  <c:v>5.0034506556245697</c:v>
                </c:pt>
                <c:pt idx="288">
                  <c:v>5.0609615827007142</c:v>
                </c:pt>
                <c:pt idx="289">
                  <c:v>5.1184725097768586</c:v>
                </c:pt>
                <c:pt idx="290">
                  <c:v>5.1759834368530031</c:v>
                </c:pt>
                <c:pt idx="291">
                  <c:v>5.2334943639291476</c:v>
                </c:pt>
                <c:pt idx="292">
                  <c:v>5.291005291005292</c:v>
                </c:pt>
                <c:pt idx="293">
                  <c:v>5.3485162180814365</c:v>
                </c:pt>
                <c:pt idx="294">
                  <c:v>5.406027145157581</c:v>
                </c:pt>
                <c:pt idx="295">
                  <c:v>5.4635380722337255</c:v>
                </c:pt>
                <c:pt idx="296">
                  <c:v>5.5210489993098699</c:v>
                </c:pt>
                <c:pt idx="297">
                  <c:v>5.5785599263860144</c:v>
                </c:pt>
                <c:pt idx="298">
                  <c:v>5.6360708534621589</c:v>
                </c:pt>
                <c:pt idx="299">
                  <c:v>5.6935817805383033</c:v>
                </c:pt>
                <c:pt idx="300">
                  <c:v>5.7510927076144478</c:v>
                </c:pt>
              </c:numCache>
            </c:numRef>
          </c:yVal>
          <c:smooth val="1"/>
          <c:extLst>
            <c:ext xmlns:c16="http://schemas.microsoft.com/office/drawing/2014/chart" uri="{C3380CC4-5D6E-409C-BE32-E72D297353CC}">
              <c16:uniqueId val="{00000000-B454-4901-A254-F96598394755}"/>
            </c:ext>
          </c:extLst>
        </c:ser>
        <c:dLbls>
          <c:showLegendKey val="0"/>
          <c:showVal val="0"/>
          <c:showCatName val="0"/>
          <c:showSerName val="0"/>
          <c:showPercent val="0"/>
          <c:showBubbleSize val="0"/>
        </c:dLbls>
        <c:axId val="101171968"/>
        <c:axId val="101174272"/>
      </c:scatterChart>
      <c:scatterChart>
        <c:scatterStyle val="lineMarker"/>
        <c:varyColors val="0"/>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constants!$G$3:$G$6</c:f>
              <c:numCache>
                <c:formatCode>General</c:formatCode>
                <c:ptCount val="4"/>
                <c:pt idx="0">
                  <c:v>0</c:v>
                </c:pt>
                <c:pt idx="1">
                  <c:v>-1.6774020397208806</c:v>
                </c:pt>
                <c:pt idx="2">
                  <c:v>0</c:v>
                </c:pt>
                <c:pt idx="3">
                  <c:v>5.7510927076144478</c:v>
                </c:pt>
              </c:numCache>
            </c:numRef>
          </c:yVal>
          <c:smooth val="0"/>
          <c:extLst>
            <c:ext xmlns:c16="http://schemas.microsoft.com/office/drawing/2014/chart" uri="{C3380CC4-5D6E-409C-BE32-E72D297353CC}">
              <c16:uniqueId val="{00000006-B454-4901-A254-F96598394755}"/>
            </c:ext>
          </c:extLst>
        </c:ser>
        <c:dLbls>
          <c:showLegendKey val="0"/>
          <c:showVal val="0"/>
          <c:showCatName val="0"/>
          <c:showSerName val="0"/>
          <c:showPercent val="0"/>
          <c:showBubbleSize val="0"/>
        </c:dLbls>
        <c:axId val="101171968"/>
        <c:axId val="101174272"/>
      </c:scatterChart>
      <c:valAx>
        <c:axId val="101171968"/>
        <c:scaling>
          <c:orientation val="minMax"/>
        </c:scaling>
        <c:delete val="0"/>
        <c:axPos val="b"/>
        <c:title>
          <c:tx>
            <c:strRef>
              <c:f>'Plotting Data'!$B$2</c:f>
              <c:strCache>
                <c:ptCount val="1"/>
                <c:pt idx="0">
                  <c:v>Position</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174272"/>
        <c:crosses val="autoZero"/>
        <c:crossBetween val="midCat"/>
      </c:valAx>
      <c:valAx>
        <c:axId val="101174272"/>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Properties!$B$11</c:f>
              <c:strCache>
                <c:ptCount val="1"/>
                <c:pt idx="0">
                  <c:v>Deflection</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171968"/>
        <c:crossesAt val="0"/>
        <c:crossBetween val="midCat"/>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Properties!$C$11</c:f>
          <c:strCache>
            <c:ptCount val="1"/>
            <c:pt idx="0">
              <c:v>Slope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721988003865555"/>
          <c:y val="0.17512831070577775"/>
          <c:w val="0.83510264967637537"/>
          <c:h val="0.71001190476190479"/>
        </c:manualLayout>
      </c:layout>
      <c:scatterChart>
        <c:scatterStyle val="lineMarker"/>
        <c:varyColors val="0"/>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constants!$H$3:$H$6</c:f>
              <c:numCache>
                <c:formatCode>General</c:formatCode>
                <c:ptCount val="4"/>
                <c:pt idx="0">
                  <c:v>0</c:v>
                </c:pt>
                <c:pt idx="1">
                  <c:v>-0.71888658845180675</c:v>
                </c:pt>
                <c:pt idx="2">
                  <c:v>2.8755463538072217</c:v>
                </c:pt>
                <c:pt idx="3">
                  <c:v>2.8755463538072239</c:v>
                </c:pt>
              </c:numCache>
            </c:numRef>
          </c:yVal>
          <c:smooth val="0"/>
          <c:extLst>
            <c:ext xmlns:c16="http://schemas.microsoft.com/office/drawing/2014/chart" uri="{C3380CC4-5D6E-409C-BE32-E72D297353CC}">
              <c16:uniqueId val="{00000002-B571-4176-84CF-A79118C309E1}"/>
            </c:ext>
          </c:extLst>
        </c:ser>
        <c:dLbls>
          <c:showLegendKey val="0"/>
          <c:showVal val="0"/>
          <c:showCatName val="0"/>
          <c:showSerName val="0"/>
          <c:showPercent val="0"/>
          <c:showBubbleSize val="0"/>
        </c:dLbls>
        <c:axId val="109819008"/>
        <c:axId val="109820928"/>
      </c:scatterChart>
      <c:scatterChart>
        <c:scatterStyle val="smoothMarker"/>
        <c:varyColors val="0"/>
        <c:ser>
          <c:idx val="0"/>
          <c:order val="0"/>
          <c:tx>
            <c:v>‘All Data'</c:v>
          </c:tx>
          <c:spPr>
            <a:ln w="2540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Data'!$D$3:$D$303</c:f>
              <c:numCache>
                <c:formatCode>General</c:formatCode>
                <c:ptCount val="301"/>
                <c:pt idx="0">
                  <c:v>0</c:v>
                </c:pt>
                <c:pt idx="1">
                  <c:v>-8.5475615366919722E-2</c:v>
                </c:pt>
                <c:pt idx="2">
                  <c:v>-0.16936968023924545</c:v>
                </c:pt>
                <c:pt idx="3">
                  <c:v>-0.25168219461697722</c:v>
                </c:pt>
                <c:pt idx="4">
                  <c:v>-0.33241315850011505</c:v>
                </c:pt>
                <c:pt idx="5">
                  <c:v>-0.41156257188865886</c:v>
                </c:pt>
                <c:pt idx="6">
                  <c:v>-0.4891304347826087</c:v>
                </c:pt>
                <c:pt idx="7">
                  <c:v>-0.5651167471819647</c:v>
                </c:pt>
                <c:pt idx="8">
                  <c:v>-0.63952150908672645</c:v>
                </c:pt>
                <c:pt idx="9">
                  <c:v>-0.71234472049689446</c:v>
                </c:pt>
                <c:pt idx="10">
                  <c:v>-0.78358638141246839</c:v>
                </c:pt>
                <c:pt idx="11">
                  <c:v>-0.85324649183344836</c:v>
                </c:pt>
                <c:pt idx="12">
                  <c:v>-0.92132505175983437</c:v>
                </c:pt>
                <c:pt idx="13">
                  <c:v>-0.98782206119162641</c:v>
                </c:pt>
                <c:pt idx="14">
                  <c:v>-1.0527375201288247</c:v>
                </c:pt>
                <c:pt idx="15">
                  <c:v>-1.1160714285714286</c:v>
                </c:pt>
                <c:pt idx="16">
                  <c:v>-1.1778237865194388</c:v>
                </c:pt>
                <c:pt idx="17">
                  <c:v>-1.2379945939728549</c:v>
                </c:pt>
                <c:pt idx="18">
                  <c:v>-1.2965838509316772</c:v>
                </c:pt>
                <c:pt idx="19">
                  <c:v>-1.3535915573959052</c:v>
                </c:pt>
                <c:pt idx="20">
                  <c:v>-1.4090177133655395</c:v>
                </c:pt>
                <c:pt idx="21">
                  <c:v>-1.4628623188405798</c:v>
                </c:pt>
                <c:pt idx="22">
                  <c:v>-1.515125373821026</c:v>
                </c:pt>
                <c:pt idx="23">
                  <c:v>-1.5658068783068784</c:v>
                </c:pt>
                <c:pt idx="24">
                  <c:v>-1.6149068322981366</c:v>
                </c:pt>
                <c:pt idx="25">
                  <c:v>-1.6624252357948011</c:v>
                </c:pt>
                <c:pt idx="26">
                  <c:v>-1.7083620887968713</c:v>
                </c:pt>
                <c:pt idx="27">
                  <c:v>-1.7527173913043479</c:v>
                </c:pt>
                <c:pt idx="28">
                  <c:v>-1.7954911433172307</c:v>
                </c:pt>
                <c:pt idx="29">
                  <c:v>-1.8366833448355191</c:v>
                </c:pt>
                <c:pt idx="30">
                  <c:v>-1.8762939958592133</c:v>
                </c:pt>
                <c:pt idx="31">
                  <c:v>-1.9143230963883138</c:v>
                </c:pt>
                <c:pt idx="32">
                  <c:v>-1.9507706464228205</c:v>
                </c:pt>
                <c:pt idx="33">
                  <c:v>-1.985636645962733</c:v>
                </c:pt>
                <c:pt idx="34">
                  <c:v>-2.0189210950080514</c:v>
                </c:pt>
                <c:pt idx="35">
                  <c:v>-2.0506239935587764</c:v>
                </c:pt>
                <c:pt idx="36">
                  <c:v>-2.0807453416149073</c:v>
                </c:pt>
                <c:pt idx="37">
                  <c:v>-2.1092851391764436</c:v>
                </c:pt>
                <c:pt idx="38">
                  <c:v>-2.1362433862433861</c:v>
                </c:pt>
                <c:pt idx="39">
                  <c:v>-2.1362433862433861</c:v>
                </c:pt>
                <c:pt idx="40">
                  <c:v>-2.1854152288934898</c:v>
                </c:pt>
                <c:pt idx="41">
                  <c:v>-2.2076288244766511</c:v>
                </c:pt>
                <c:pt idx="42">
                  <c:v>-2.2282608695652177</c:v>
                </c:pt>
                <c:pt idx="43">
                  <c:v>-2.2473113641591906</c:v>
                </c:pt>
                <c:pt idx="44">
                  <c:v>-2.2647803082585694</c:v>
                </c:pt>
                <c:pt idx="45">
                  <c:v>-2.2806677018633543</c:v>
                </c:pt>
                <c:pt idx="46">
                  <c:v>-2.2949735449735451</c:v>
                </c:pt>
                <c:pt idx="47">
                  <c:v>-2.3076978375891422</c:v>
                </c:pt>
                <c:pt idx="48">
                  <c:v>-2.318840579710145</c:v>
                </c:pt>
                <c:pt idx="49">
                  <c:v>-2.3284017713365541</c:v>
                </c:pt>
                <c:pt idx="50">
                  <c:v>-2.3363814124683691</c:v>
                </c:pt>
                <c:pt idx="51">
                  <c:v>-2.3427795031055902</c:v>
                </c:pt>
                <c:pt idx="52">
                  <c:v>-2.3475960432482172</c:v>
                </c:pt>
                <c:pt idx="53">
                  <c:v>-2.3508310328962505</c:v>
                </c:pt>
                <c:pt idx="54">
                  <c:v>-2.3524844720496896</c:v>
                </c:pt>
                <c:pt idx="55">
                  <c:v>-2.3525563607085345</c:v>
                </c:pt>
                <c:pt idx="56">
                  <c:v>-2.3510466988727869</c:v>
                </c:pt>
                <c:pt idx="57">
                  <c:v>-2.3479554865424439</c:v>
                </c:pt>
                <c:pt idx="58">
                  <c:v>-2.3432827237175071</c:v>
                </c:pt>
                <c:pt idx="59">
                  <c:v>-2.3370284103979766</c:v>
                </c:pt>
                <c:pt idx="60">
                  <c:v>-2.329192546583851</c:v>
                </c:pt>
                <c:pt idx="61">
                  <c:v>-2.319775132275133</c:v>
                </c:pt>
                <c:pt idx="62">
                  <c:v>-2.3087761674718199</c:v>
                </c:pt>
                <c:pt idx="63">
                  <c:v>-2.2961956521739131</c:v>
                </c:pt>
                <c:pt idx="64">
                  <c:v>-2.2820335863814125</c:v>
                </c:pt>
                <c:pt idx="65">
                  <c:v>-2.2662899700943182</c:v>
                </c:pt>
                <c:pt idx="66">
                  <c:v>-2.2489648033126293</c:v>
                </c:pt>
                <c:pt idx="67">
                  <c:v>-2.2300580860363466</c:v>
                </c:pt>
                <c:pt idx="68">
                  <c:v>-2.2095698182654702</c:v>
                </c:pt>
                <c:pt idx="69">
                  <c:v>-2.1875000000000004</c:v>
                </c:pt>
                <c:pt idx="70">
                  <c:v>-2.1638486312399365</c:v>
                </c:pt>
                <c:pt idx="71">
                  <c:v>-2.1386157119852776</c:v>
                </c:pt>
                <c:pt idx="72">
                  <c:v>-2.1118012422360257</c:v>
                </c:pt>
                <c:pt idx="73">
                  <c:v>-2.0834052219921793</c:v>
                </c:pt>
                <c:pt idx="74">
                  <c:v>-2.0534276512537391</c:v>
                </c:pt>
                <c:pt idx="75">
                  <c:v>-2.0218685300207042</c:v>
                </c:pt>
                <c:pt idx="76">
                  <c:v>-1.9887278582930756</c:v>
                </c:pt>
                <c:pt idx="77">
                  <c:v>-1.9540056360708542</c:v>
                </c:pt>
                <c:pt idx="78">
                  <c:v>-1.9177018633540373</c:v>
                </c:pt>
                <c:pt idx="79">
                  <c:v>-1.8798165401426266</c:v>
                </c:pt>
                <c:pt idx="80">
                  <c:v>-1.840349666436623</c:v>
                </c:pt>
                <c:pt idx="81">
                  <c:v>-1.7993012422360257</c:v>
                </c:pt>
                <c:pt idx="82">
                  <c:v>-1.7566712675408338</c:v>
                </c:pt>
                <c:pt idx="83">
                  <c:v>-1.7124597423510473</c:v>
                </c:pt>
                <c:pt idx="84">
                  <c:v>-1.6666666666666687</c:v>
                </c:pt>
                <c:pt idx="85">
                  <c:v>-1.6192920404876947</c:v>
                </c:pt>
                <c:pt idx="86">
                  <c:v>-1.570335863814126</c:v>
                </c:pt>
                <c:pt idx="87">
                  <c:v>-1.5197981366459627</c:v>
                </c:pt>
                <c:pt idx="88">
                  <c:v>-1.4676788589832075</c:v>
                </c:pt>
                <c:pt idx="89">
                  <c:v>-1.4139780308258576</c:v>
                </c:pt>
                <c:pt idx="90">
                  <c:v>-1.3586956521739131</c:v>
                </c:pt>
                <c:pt idx="91">
                  <c:v>-1.3018317230273757</c:v>
                </c:pt>
                <c:pt idx="92">
                  <c:v>-1.2433862433862437</c:v>
                </c:pt>
                <c:pt idx="93">
                  <c:v>-1.1833592132505171</c:v>
                </c:pt>
                <c:pt idx="94">
                  <c:v>-1.1217506326201994</c:v>
                </c:pt>
                <c:pt idx="95">
                  <c:v>-1.0585605014952852</c:v>
                </c:pt>
                <c:pt idx="96">
                  <c:v>-0.9937888198757765</c:v>
                </c:pt>
                <c:pt idx="97">
                  <c:v>-0.92743558776167578</c:v>
                </c:pt>
                <c:pt idx="98">
                  <c:v>-0.85950080515298044</c:v>
                </c:pt>
                <c:pt idx="99">
                  <c:v>-0.78998447204969136</c:v>
                </c:pt>
                <c:pt idx="100">
                  <c:v>-0.71888658845180675</c:v>
                </c:pt>
                <c:pt idx="101">
                  <c:v>-0.64735737290085149</c:v>
                </c:pt>
                <c:pt idx="102">
                  <c:v>-0.57654704393834866</c:v>
                </c:pt>
                <c:pt idx="103">
                  <c:v>-0.50645560156429736</c:v>
                </c:pt>
                <c:pt idx="104">
                  <c:v>-0.43708304577869894</c:v>
                </c:pt>
                <c:pt idx="105">
                  <c:v>-0.36842937658155117</c:v>
                </c:pt>
                <c:pt idx="106">
                  <c:v>-0.30049459397285627</c:v>
                </c:pt>
                <c:pt idx="107">
                  <c:v>-0.2332786979526098</c:v>
                </c:pt>
                <c:pt idx="108">
                  <c:v>-0.16678168852081754</c:v>
                </c:pt>
                <c:pt idx="109">
                  <c:v>-0.1010035656774777</c:v>
                </c:pt>
                <c:pt idx="110">
                  <c:v>-3.5944329422590293E-2</c:v>
                </c:pt>
                <c:pt idx="111">
                  <c:v>2.8396020243846465E-2</c:v>
                </c:pt>
                <c:pt idx="112">
                  <c:v>9.2017483321831683E-2</c:v>
                </c:pt>
                <c:pt idx="113">
                  <c:v>0.1549200598113627</c:v>
                </c:pt>
                <c:pt idx="114">
                  <c:v>0.21710374971244573</c:v>
                </c:pt>
                <c:pt idx="115">
                  <c:v>0.27856855302507277</c:v>
                </c:pt>
                <c:pt idx="116">
                  <c:v>0.33931446974925095</c:v>
                </c:pt>
                <c:pt idx="117">
                  <c:v>0.39934149988497669</c:v>
                </c:pt>
                <c:pt idx="118">
                  <c:v>0.4586496434322509</c:v>
                </c:pt>
                <c:pt idx="119">
                  <c:v>0.51723890039107268</c:v>
                </c:pt>
                <c:pt idx="120">
                  <c:v>0.57510927076144203</c:v>
                </c:pt>
                <c:pt idx="121">
                  <c:v>0.63226075454336161</c:v>
                </c:pt>
                <c:pt idx="122">
                  <c:v>0.68869335173683144</c:v>
                </c:pt>
                <c:pt idx="123">
                  <c:v>0.74440706234184706</c:v>
                </c:pt>
                <c:pt idx="124">
                  <c:v>0.79940188635840936</c:v>
                </c:pt>
                <c:pt idx="125">
                  <c:v>0.85367782378652013</c:v>
                </c:pt>
                <c:pt idx="126">
                  <c:v>0.90723487462617936</c:v>
                </c:pt>
                <c:pt idx="127">
                  <c:v>0.96007303887738793</c:v>
                </c:pt>
                <c:pt idx="128">
                  <c:v>1.0121923165401432</c:v>
                </c:pt>
                <c:pt idx="129">
                  <c:v>1.0635927076144478</c:v>
                </c:pt>
                <c:pt idx="130">
                  <c:v>1.1142742121003</c:v>
                </c:pt>
                <c:pt idx="131">
                  <c:v>1.1642368299976997</c:v>
                </c:pt>
                <c:pt idx="132">
                  <c:v>1.2134805613066488</c:v>
                </c:pt>
                <c:pt idx="133">
                  <c:v>1.2620054060271464</c:v>
                </c:pt>
                <c:pt idx="134">
                  <c:v>1.3098113641591898</c:v>
                </c:pt>
                <c:pt idx="135">
                  <c:v>1.3568984357027833</c:v>
                </c:pt>
                <c:pt idx="136">
                  <c:v>1.4032666206579236</c:v>
                </c:pt>
                <c:pt idx="137">
                  <c:v>1.4489159190246141</c:v>
                </c:pt>
                <c:pt idx="138">
                  <c:v>1.4938463308028513</c:v>
                </c:pt>
                <c:pt idx="139">
                  <c:v>1.5380578559926379</c:v>
                </c:pt>
                <c:pt idx="140">
                  <c:v>1.5815504945939711</c:v>
                </c:pt>
                <c:pt idx="141">
                  <c:v>1.6243242466068528</c:v>
                </c:pt>
                <c:pt idx="142">
                  <c:v>1.6663791120312839</c:v>
                </c:pt>
                <c:pt idx="143">
                  <c:v>1.7077150908672634</c:v>
                </c:pt>
                <c:pt idx="144">
                  <c:v>1.7483321831147931</c:v>
                </c:pt>
                <c:pt idx="145">
                  <c:v>1.7882303887738678</c:v>
                </c:pt>
                <c:pt idx="146">
                  <c:v>1.8274097078444926</c:v>
                </c:pt>
                <c:pt idx="147">
                  <c:v>1.8658701403266633</c:v>
                </c:pt>
                <c:pt idx="148">
                  <c:v>1.9036116862203833</c:v>
                </c:pt>
                <c:pt idx="149">
                  <c:v>1.940634345525651</c:v>
                </c:pt>
                <c:pt idx="150">
                  <c:v>1.976938118242467</c:v>
                </c:pt>
                <c:pt idx="151">
                  <c:v>2.0125230043708306</c:v>
                </c:pt>
                <c:pt idx="152">
                  <c:v>2.0473890039107427</c:v>
                </c:pt>
                <c:pt idx="153">
                  <c:v>2.0815361168622033</c:v>
                </c:pt>
                <c:pt idx="154">
                  <c:v>2.1149643432252141</c:v>
                </c:pt>
                <c:pt idx="155">
                  <c:v>2.1476736829997698</c:v>
                </c:pt>
                <c:pt idx="156">
                  <c:v>2.1796641361858757</c:v>
                </c:pt>
                <c:pt idx="157">
                  <c:v>2.2109357027835284</c:v>
                </c:pt>
                <c:pt idx="158">
                  <c:v>2.2414883827927294</c:v>
                </c:pt>
                <c:pt idx="159">
                  <c:v>2.2713221762134808</c:v>
                </c:pt>
                <c:pt idx="160">
                  <c:v>2.300437083045777</c:v>
                </c:pt>
                <c:pt idx="161">
                  <c:v>2.3288331032896235</c:v>
                </c:pt>
                <c:pt idx="162">
                  <c:v>2.3565102369450184</c:v>
                </c:pt>
                <c:pt idx="163">
                  <c:v>2.38346848401196</c:v>
                </c:pt>
                <c:pt idx="164">
                  <c:v>2.4097078444904518</c:v>
                </c:pt>
                <c:pt idx="165">
                  <c:v>2.4352283183804904</c:v>
                </c:pt>
                <c:pt idx="166">
                  <c:v>2.4600299056820809</c:v>
                </c:pt>
                <c:pt idx="167">
                  <c:v>2.4841126063952164</c:v>
                </c:pt>
                <c:pt idx="168">
                  <c:v>2.5074764205198967</c:v>
                </c:pt>
                <c:pt idx="169">
                  <c:v>2.5301213480561326</c:v>
                </c:pt>
                <c:pt idx="170">
                  <c:v>2.5520473890039135</c:v>
                </c:pt>
                <c:pt idx="171">
                  <c:v>2.573254543363241</c:v>
                </c:pt>
                <c:pt idx="172">
                  <c:v>2.593742811134117</c:v>
                </c:pt>
                <c:pt idx="173">
                  <c:v>2.6135121923165414</c:v>
                </c:pt>
                <c:pt idx="174">
                  <c:v>2.6325626869105125</c:v>
                </c:pt>
                <c:pt idx="175">
                  <c:v>2.6508942949160339</c:v>
                </c:pt>
                <c:pt idx="176">
                  <c:v>2.6685070163331037</c:v>
                </c:pt>
                <c:pt idx="177">
                  <c:v>2.6854008511617184</c:v>
                </c:pt>
                <c:pt idx="178">
                  <c:v>2.701575799401887</c:v>
                </c:pt>
                <c:pt idx="179">
                  <c:v>2.7170318610536022</c:v>
                </c:pt>
                <c:pt idx="180">
                  <c:v>2.7317690361168623</c:v>
                </c:pt>
                <c:pt idx="181">
                  <c:v>2.7457873245916726</c:v>
                </c:pt>
                <c:pt idx="182">
                  <c:v>2.7590867264780314</c:v>
                </c:pt>
                <c:pt idx="183">
                  <c:v>2.7716672417759369</c:v>
                </c:pt>
                <c:pt idx="184">
                  <c:v>2.7835288704853927</c:v>
                </c:pt>
                <c:pt idx="185">
                  <c:v>2.7946716126063933</c:v>
                </c:pt>
                <c:pt idx="186">
                  <c:v>2.8050954681389459</c:v>
                </c:pt>
                <c:pt idx="187">
                  <c:v>2.8148004370830435</c:v>
                </c:pt>
                <c:pt idx="188">
                  <c:v>2.8237865194386949</c:v>
                </c:pt>
                <c:pt idx="189">
                  <c:v>2.8320537152058893</c:v>
                </c:pt>
                <c:pt idx="190">
                  <c:v>2.839602024384634</c:v>
                </c:pt>
                <c:pt idx="191">
                  <c:v>2.8464314469749272</c:v>
                </c:pt>
                <c:pt idx="192">
                  <c:v>2.8525419829767635</c:v>
                </c:pt>
                <c:pt idx="193">
                  <c:v>2.8579336323901536</c:v>
                </c:pt>
                <c:pt idx="194">
                  <c:v>2.8626063952150904</c:v>
                </c:pt>
                <c:pt idx="195">
                  <c:v>2.8665602714515792</c:v>
                </c:pt>
                <c:pt idx="196">
                  <c:v>2.8697952610996076</c:v>
                </c:pt>
                <c:pt idx="197">
                  <c:v>2.8723113641591933</c:v>
                </c:pt>
                <c:pt idx="198">
                  <c:v>2.8741085806303204</c:v>
                </c:pt>
                <c:pt idx="199">
                  <c:v>2.8751869105129995</c:v>
                </c:pt>
                <c:pt idx="200">
                  <c:v>2.8755463538072217</c:v>
                </c:pt>
                <c:pt idx="201">
                  <c:v>2.8755463538072239</c:v>
                </c:pt>
                <c:pt idx="202">
                  <c:v>2.8755463538072239</c:v>
                </c:pt>
                <c:pt idx="203">
                  <c:v>2.8755463538072239</c:v>
                </c:pt>
                <c:pt idx="204">
                  <c:v>2.8755463538072239</c:v>
                </c:pt>
                <c:pt idx="205">
                  <c:v>2.8755463538072239</c:v>
                </c:pt>
                <c:pt idx="206">
                  <c:v>2.8755463538072239</c:v>
                </c:pt>
                <c:pt idx="207">
                  <c:v>2.8755463538072239</c:v>
                </c:pt>
                <c:pt idx="208">
                  <c:v>2.8755463538072239</c:v>
                </c:pt>
                <c:pt idx="209">
                  <c:v>2.8755463538072239</c:v>
                </c:pt>
                <c:pt idx="210">
                  <c:v>2.8755463538072239</c:v>
                </c:pt>
                <c:pt idx="211">
                  <c:v>2.8755463538072239</c:v>
                </c:pt>
                <c:pt idx="212">
                  <c:v>2.8755463538072239</c:v>
                </c:pt>
                <c:pt idx="213">
                  <c:v>2.8755463538072239</c:v>
                </c:pt>
                <c:pt idx="214">
                  <c:v>2.8755463538072239</c:v>
                </c:pt>
                <c:pt idx="215">
                  <c:v>2.8755463538072239</c:v>
                </c:pt>
                <c:pt idx="216">
                  <c:v>2.8755463538072239</c:v>
                </c:pt>
                <c:pt idx="217">
                  <c:v>2.8755463538072239</c:v>
                </c:pt>
                <c:pt idx="218">
                  <c:v>2.8755463538072239</c:v>
                </c:pt>
                <c:pt idx="219">
                  <c:v>2.8755463538072239</c:v>
                </c:pt>
                <c:pt idx="220">
                  <c:v>2.8755463538072239</c:v>
                </c:pt>
                <c:pt idx="221">
                  <c:v>2.8755463538072239</c:v>
                </c:pt>
                <c:pt idx="222">
                  <c:v>2.8755463538072239</c:v>
                </c:pt>
                <c:pt idx="223">
                  <c:v>2.8755463538072239</c:v>
                </c:pt>
                <c:pt idx="224">
                  <c:v>2.8755463538072239</c:v>
                </c:pt>
                <c:pt idx="225">
                  <c:v>2.8755463538072239</c:v>
                </c:pt>
                <c:pt idx="226">
                  <c:v>2.8755463538072239</c:v>
                </c:pt>
                <c:pt idx="227">
                  <c:v>2.8755463538072239</c:v>
                </c:pt>
                <c:pt idx="228">
                  <c:v>2.8755463538072239</c:v>
                </c:pt>
                <c:pt idx="229">
                  <c:v>2.8755463538072239</c:v>
                </c:pt>
                <c:pt idx="230">
                  <c:v>2.8755463538072239</c:v>
                </c:pt>
                <c:pt idx="231">
                  <c:v>2.8755463538072239</c:v>
                </c:pt>
                <c:pt idx="232">
                  <c:v>2.8755463538072239</c:v>
                </c:pt>
                <c:pt idx="233">
                  <c:v>2.8755463538072239</c:v>
                </c:pt>
                <c:pt idx="234">
                  <c:v>2.8755463538072239</c:v>
                </c:pt>
                <c:pt idx="235">
                  <c:v>2.8755463538072239</c:v>
                </c:pt>
                <c:pt idx="236">
                  <c:v>2.8755463538072239</c:v>
                </c:pt>
                <c:pt idx="237">
                  <c:v>2.8755463538072239</c:v>
                </c:pt>
                <c:pt idx="238">
                  <c:v>2.8755463538072239</c:v>
                </c:pt>
                <c:pt idx="239">
                  <c:v>2.8755463538072239</c:v>
                </c:pt>
                <c:pt idx="240">
                  <c:v>2.8755463538072239</c:v>
                </c:pt>
                <c:pt idx="241">
                  <c:v>2.8755463538072239</c:v>
                </c:pt>
                <c:pt idx="242">
                  <c:v>2.8755463538072239</c:v>
                </c:pt>
                <c:pt idx="243">
                  <c:v>2.8755463538072239</c:v>
                </c:pt>
                <c:pt idx="244">
                  <c:v>2.8755463538072239</c:v>
                </c:pt>
                <c:pt idx="245">
                  <c:v>2.8755463538072239</c:v>
                </c:pt>
                <c:pt idx="246">
                  <c:v>2.8755463538072239</c:v>
                </c:pt>
                <c:pt idx="247">
                  <c:v>2.8755463538072239</c:v>
                </c:pt>
                <c:pt idx="248">
                  <c:v>2.8755463538072239</c:v>
                </c:pt>
                <c:pt idx="249">
                  <c:v>2.8755463538072239</c:v>
                </c:pt>
                <c:pt idx="250">
                  <c:v>2.8755463538072239</c:v>
                </c:pt>
                <c:pt idx="251">
                  <c:v>2.8755463538072239</c:v>
                </c:pt>
                <c:pt idx="252">
                  <c:v>2.8755463538072239</c:v>
                </c:pt>
                <c:pt idx="253">
                  <c:v>2.8755463538072239</c:v>
                </c:pt>
                <c:pt idx="254">
                  <c:v>2.8755463538072239</c:v>
                </c:pt>
                <c:pt idx="255">
                  <c:v>2.8755463538072239</c:v>
                </c:pt>
                <c:pt idx="256">
                  <c:v>2.8755463538072239</c:v>
                </c:pt>
                <c:pt idx="257">
                  <c:v>2.8755463538072239</c:v>
                </c:pt>
                <c:pt idx="258">
                  <c:v>2.8755463538072239</c:v>
                </c:pt>
                <c:pt idx="259">
                  <c:v>2.8755463538072239</c:v>
                </c:pt>
                <c:pt idx="260">
                  <c:v>2.8755463538072239</c:v>
                </c:pt>
                <c:pt idx="261">
                  <c:v>2.8755463538072239</c:v>
                </c:pt>
                <c:pt idx="262">
                  <c:v>2.8755463538072239</c:v>
                </c:pt>
                <c:pt idx="263">
                  <c:v>2.8755463538072239</c:v>
                </c:pt>
                <c:pt idx="264">
                  <c:v>2.8755463538072239</c:v>
                </c:pt>
                <c:pt idx="265">
                  <c:v>2.8755463538072239</c:v>
                </c:pt>
                <c:pt idx="266">
                  <c:v>2.8755463538072239</c:v>
                </c:pt>
                <c:pt idx="267">
                  <c:v>2.8755463538072239</c:v>
                </c:pt>
                <c:pt idx="268">
                  <c:v>2.8755463538072239</c:v>
                </c:pt>
                <c:pt idx="269">
                  <c:v>2.8755463538072239</c:v>
                </c:pt>
                <c:pt idx="270">
                  <c:v>2.8755463538072239</c:v>
                </c:pt>
                <c:pt idx="271">
                  <c:v>2.8755463538072239</c:v>
                </c:pt>
                <c:pt idx="272">
                  <c:v>2.8755463538072239</c:v>
                </c:pt>
                <c:pt idx="273">
                  <c:v>2.8755463538072239</c:v>
                </c:pt>
                <c:pt idx="274">
                  <c:v>2.8755463538072239</c:v>
                </c:pt>
                <c:pt idx="275">
                  <c:v>2.8755463538072239</c:v>
                </c:pt>
                <c:pt idx="276">
                  <c:v>2.8755463538072239</c:v>
                </c:pt>
                <c:pt idx="277">
                  <c:v>2.8755463538072239</c:v>
                </c:pt>
                <c:pt idx="278">
                  <c:v>2.8755463538072239</c:v>
                </c:pt>
                <c:pt idx="279">
                  <c:v>2.8755463538072239</c:v>
                </c:pt>
                <c:pt idx="280">
                  <c:v>2.8755463538072239</c:v>
                </c:pt>
                <c:pt idx="281">
                  <c:v>2.8755463538072239</c:v>
                </c:pt>
                <c:pt idx="282">
                  <c:v>2.8755463538072239</c:v>
                </c:pt>
                <c:pt idx="283">
                  <c:v>2.8755463538072239</c:v>
                </c:pt>
                <c:pt idx="284">
                  <c:v>2.8755463538072239</c:v>
                </c:pt>
                <c:pt idx="285">
                  <c:v>2.8755463538072239</c:v>
                </c:pt>
                <c:pt idx="286">
                  <c:v>2.8755463538072239</c:v>
                </c:pt>
                <c:pt idx="287">
                  <c:v>2.8755463538072239</c:v>
                </c:pt>
                <c:pt idx="288">
                  <c:v>2.8755463538072239</c:v>
                </c:pt>
                <c:pt idx="289">
                  <c:v>2.8755463538072239</c:v>
                </c:pt>
                <c:pt idx="290">
                  <c:v>2.8755463538072239</c:v>
                </c:pt>
                <c:pt idx="291">
                  <c:v>2.8755463538072239</c:v>
                </c:pt>
                <c:pt idx="292">
                  <c:v>2.8755463538072239</c:v>
                </c:pt>
                <c:pt idx="293">
                  <c:v>2.8755463538072239</c:v>
                </c:pt>
                <c:pt idx="294">
                  <c:v>2.8755463538072239</c:v>
                </c:pt>
                <c:pt idx="295">
                  <c:v>2.8755463538072239</c:v>
                </c:pt>
                <c:pt idx="296">
                  <c:v>2.8755463538072239</c:v>
                </c:pt>
                <c:pt idx="297">
                  <c:v>2.8755463538072239</c:v>
                </c:pt>
                <c:pt idx="298">
                  <c:v>2.8755463538072239</c:v>
                </c:pt>
                <c:pt idx="299">
                  <c:v>2.8755463538072239</c:v>
                </c:pt>
                <c:pt idx="300">
                  <c:v>2.8755463538072239</c:v>
                </c:pt>
              </c:numCache>
            </c:numRef>
          </c:yVal>
          <c:smooth val="1"/>
          <c:extLst>
            <c:ext xmlns:c16="http://schemas.microsoft.com/office/drawing/2014/chart" uri="{C3380CC4-5D6E-409C-BE32-E72D297353CC}">
              <c16:uniqueId val="{00000001-B571-4176-84CF-A79118C309E1}"/>
            </c:ext>
          </c:extLst>
        </c:ser>
        <c:dLbls>
          <c:showLegendKey val="0"/>
          <c:showVal val="0"/>
          <c:showCatName val="0"/>
          <c:showSerName val="0"/>
          <c:showPercent val="0"/>
          <c:showBubbleSize val="0"/>
        </c:dLbls>
        <c:axId val="109819008"/>
        <c:axId val="109820928"/>
      </c:scatterChart>
      <c:valAx>
        <c:axId val="109819008"/>
        <c:scaling>
          <c:orientation val="minMax"/>
        </c:scaling>
        <c:delete val="0"/>
        <c:axPos val="b"/>
        <c:title>
          <c:tx>
            <c:strRef>
              <c:f>'Plotting Data'!$B$2</c:f>
              <c:strCache>
                <c:ptCount val="1"/>
                <c:pt idx="0">
                  <c:v>Position</c:v>
                </c:pt>
              </c:strCache>
            </c:strRef>
          </c:tx>
          <c:layout>
            <c:manualLayout>
              <c:xMode val="edge"/>
              <c:yMode val="edge"/>
              <c:x val="0.48690680325205876"/>
              <c:y val="0.9165518914096133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_);[Red]\(0.000\)"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820928"/>
        <c:crosses val="autoZero"/>
        <c:crossBetween val="midCat"/>
      </c:valAx>
      <c:valAx>
        <c:axId val="109820928"/>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Properties!$C$11</c:f>
              <c:strCache>
                <c:ptCount val="1"/>
                <c:pt idx="0">
                  <c:v>Slope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81900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Properties!$F$11</c:f>
          <c:strCache>
            <c:ptCount val="1"/>
            <c:pt idx="0">
              <c:v>Shear</c:v>
            </c:pt>
          </c:strCache>
        </c:strRef>
      </c:tx>
      <c:layout>
        <c:manualLayout>
          <c:xMode val="edge"/>
          <c:yMode val="edge"/>
          <c:x val="0.49571871628910463"/>
          <c:y val="2.74891774891774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‘All Data'</c:v>
          </c:tx>
          <c:spPr>
            <a:ln w="2540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Data'!$G$3:$G$502</c:f>
              <c:numCache>
                <c:formatCode>General</c:formatCode>
                <c:ptCount val="500"/>
                <c:pt idx="0">
                  <c:v>3.4374999999999996</c:v>
                </c:pt>
                <c:pt idx="1">
                  <c:v>3.4374999999999996</c:v>
                </c:pt>
                <c:pt idx="2">
                  <c:v>3.4374999999999996</c:v>
                </c:pt>
                <c:pt idx="3">
                  <c:v>3.4374999999999996</c:v>
                </c:pt>
                <c:pt idx="4">
                  <c:v>3.4374999999999996</c:v>
                </c:pt>
                <c:pt idx="5">
                  <c:v>3.4374999999999996</c:v>
                </c:pt>
                <c:pt idx="6">
                  <c:v>3.4374999999999996</c:v>
                </c:pt>
                <c:pt idx="7">
                  <c:v>3.4374999999999996</c:v>
                </c:pt>
                <c:pt idx="8">
                  <c:v>3.4374999999999996</c:v>
                </c:pt>
                <c:pt idx="9">
                  <c:v>3.4374999999999996</c:v>
                </c:pt>
                <c:pt idx="10">
                  <c:v>3.4374999999999996</c:v>
                </c:pt>
                <c:pt idx="11">
                  <c:v>3.4374999999999996</c:v>
                </c:pt>
                <c:pt idx="12">
                  <c:v>3.4374999999999996</c:v>
                </c:pt>
                <c:pt idx="13">
                  <c:v>3.4374999999999996</c:v>
                </c:pt>
                <c:pt idx="14">
                  <c:v>3.4374999999999996</c:v>
                </c:pt>
                <c:pt idx="15">
                  <c:v>3.4374999999999996</c:v>
                </c:pt>
                <c:pt idx="16">
                  <c:v>3.4374999999999996</c:v>
                </c:pt>
                <c:pt idx="17">
                  <c:v>3.4374999999999996</c:v>
                </c:pt>
                <c:pt idx="18">
                  <c:v>3.4374999999999996</c:v>
                </c:pt>
                <c:pt idx="19">
                  <c:v>3.4374999999999996</c:v>
                </c:pt>
                <c:pt idx="20">
                  <c:v>3.4374999999999996</c:v>
                </c:pt>
                <c:pt idx="21">
                  <c:v>3.4374999999999996</c:v>
                </c:pt>
                <c:pt idx="22">
                  <c:v>3.4374999999999996</c:v>
                </c:pt>
                <c:pt idx="23">
                  <c:v>3.4374999999999996</c:v>
                </c:pt>
                <c:pt idx="24">
                  <c:v>3.4374999999999996</c:v>
                </c:pt>
                <c:pt idx="25">
                  <c:v>3.4374999999999996</c:v>
                </c:pt>
                <c:pt idx="26">
                  <c:v>3.4374999999999996</c:v>
                </c:pt>
                <c:pt idx="27">
                  <c:v>3.4374999999999996</c:v>
                </c:pt>
                <c:pt idx="28">
                  <c:v>3.4374999999999996</c:v>
                </c:pt>
                <c:pt idx="29">
                  <c:v>3.4374999999999996</c:v>
                </c:pt>
                <c:pt idx="30">
                  <c:v>3.4374999999999996</c:v>
                </c:pt>
                <c:pt idx="31">
                  <c:v>3.4374999999999996</c:v>
                </c:pt>
                <c:pt idx="32">
                  <c:v>3.4374999999999996</c:v>
                </c:pt>
                <c:pt idx="33">
                  <c:v>3.4374999999999996</c:v>
                </c:pt>
                <c:pt idx="34">
                  <c:v>3.4374999999999996</c:v>
                </c:pt>
                <c:pt idx="35">
                  <c:v>3.4374999999999996</c:v>
                </c:pt>
                <c:pt idx="36">
                  <c:v>3.4374999999999996</c:v>
                </c:pt>
                <c:pt idx="37">
                  <c:v>3.4374999999999996</c:v>
                </c:pt>
                <c:pt idx="38">
                  <c:v>3.4374999999999996</c:v>
                </c:pt>
                <c:pt idx="39">
                  <c:v>3.4374999999999996</c:v>
                </c:pt>
                <c:pt idx="40">
                  <c:v>3.4374999999999996</c:v>
                </c:pt>
                <c:pt idx="41">
                  <c:v>3.4374999999999996</c:v>
                </c:pt>
                <c:pt idx="42">
                  <c:v>3.4374999999999996</c:v>
                </c:pt>
                <c:pt idx="43">
                  <c:v>3.4374999999999996</c:v>
                </c:pt>
                <c:pt idx="44">
                  <c:v>3.4374999999999996</c:v>
                </c:pt>
                <c:pt idx="45">
                  <c:v>3.4374999999999996</c:v>
                </c:pt>
                <c:pt idx="46">
                  <c:v>3.4374999999999996</c:v>
                </c:pt>
                <c:pt idx="47">
                  <c:v>3.4374999999999996</c:v>
                </c:pt>
                <c:pt idx="48">
                  <c:v>3.4374999999999996</c:v>
                </c:pt>
                <c:pt idx="49">
                  <c:v>3.4374999999999996</c:v>
                </c:pt>
                <c:pt idx="50">
                  <c:v>3.4374999999999996</c:v>
                </c:pt>
                <c:pt idx="51">
                  <c:v>3.4374999999999996</c:v>
                </c:pt>
                <c:pt idx="52">
                  <c:v>3.4374999999999996</c:v>
                </c:pt>
                <c:pt idx="53">
                  <c:v>3.4374999999999996</c:v>
                </c:pt>
                <c:pt idx="54">
                  <c:v>3.4374999999999996</c:v>
                </c:pt>
                <c:pt idx="55">
                  <c:v>3.4374999999999996</c:v>
                </c:pt>
                <c:pt idx="56">
                  <c:v>3.4374999999999996</c:v>
                </c:pt>
                <c:pt idx="57">
                  <c:v>3.4374999999999996</c:v>
                </c:pt>
                <c:pt idx="58">
                  <c:v>3.4374999999999996</c:v>
                </c:pt>
                <c:pt idx="59">
                  <c:v>3.4374999999999996</c:v>
                </c:pt>
                <c:pt idx="60">
                  <c:v>3.4374999999999996</c:v>
                </c:pt>
                <c:pt idx="61">
                  <c:v>3.4374999999999996</c:v>
                </c:pt>
                <c:pt idx="62">
                  <c:v>3.4374999999999996</c:v>
                </c:pt>
                <c:pt idx="63">
                  <c:v>3.4374999999999996</c:v>
                </c:pt>
                <c:pt idx="64">
                  <c:v>3.4374999999999996</c:v>
                </c:pt>
                <c:pt idx="65">
                  <c:v>3.4374999999999996</c:v>
                </c:pt>
                <c:pt idx="66">
                  <c:v>3.4374999999999996</c:v>
                </c:pt>
                <c:pt idx="67">
                  <c:v>3.4374999999999996</c:v>
                </c:pt>
                <c:pt idx="68">
                  <c:v>3.4374999999999996</c:v>
                </c:pt>
                <c:pt idx="69">
                  <c:v>3.4374999999999996</c:v>
                </c:pt>
                <c:pt idx="70">
                  <c:v>3.4374999999999996</c:v>
                </c:pt>
                <c:pt idx="71">
                  <c:v>3.4374999999999996</c:v>
                </c:pt>
                <c:pt idx="72">
                  <c:v>3.4374999999999996</c:v>
                </c:pt>
                <c:pt idx="73">
                  <c:v>3.4374999999999996</c:v>
                </c:pt>
                <c:pt idx="74">
                  <c:v>3.4374999999999996</c:v>
                </c:pt>
                <c:pt idx="75">
                  <c:v>3.4374999999999996</c:v>
                </c:pt>
                <c:pt idx="76">
                  <c:v>3.4374999999999996</c:v>
                </c:pt>
                <c:pt idx="77">
                  <c:v>3.4374999999999996</c:v>
                </c:pt>
                <c:pt idx="78">
                  <c:v>3.4374999999999996</c:v>
                </c:pt>
                <c:pt idx="79">
                  <c:v>3.4374999999999996</c:v>
                </c:pt>
                <c:pt idx="80">
                  <c:v>3.4374999999999996</c:v>
                </c:pt>
                <c:pt idx="81">
                  <c:v>3.4374999999999996</c:v>
                </c:pt>
                <c:pt idx="82">
                  <c:v>3.4374999999999996</c:v>
                </c:pt>
                <c:pt idx="83">
                  <c:v>3.4374999999999996</c:v>
                </c:pt>
                <c:pt idx="84">
                  <c:v>3.4374999999999996</c:v>
                </c:pt>
                <c:pt idx="85">
                  <c:v>3.4374999999999996</c:v>
                </c:pt>
                <c:pt idx="86">
                  <c:v>3.4374999999999996</c:v>
                </c:pt>
                <c:pt idx="87">
                  <c:v>3.4374999999999996</c:v>
                </c:pt>
                <c:pt idx="88">
                  <c:v>3.4374999999999996</c:v>
                </c:pt>
                <c:pt idx="89">
                  <c:v>3.4374999999999996</c:v>
                </c:pt>
                <c:pt idx="90">
                  <c:v>3.4374999999999996</c:v>
                </c:pt>
                <c:pt idx="91">
                  <c:v>3.4374999999999996</c:v>
                </c:pt>
                <c:pt idx="92">
                  <c:v>3.4374999999999996</c:v>
                </c:pt>
                <c:pt idx="93">
                  <c:v>3.4374999999999996</c:v>
                </c:pt>
                <c:pt idx="94">
                  <c:v>3.4374999999999996</c:v>
                </c:pt>
                <c:pt idx="95">
                  <c:v>3.4374999999999996</c:v>
                </c:pt>
                <c:pt idx="96">
                  <c:v>3.4374999999999996</c:v>
                </c:pt>
                <c:pt idx="97">
                  <c:v>3.4374999999999996</c:v>
                </c:pt>
                <c:pt idx="98">
                  <c:v>3.4374999999999996</c:v>
                </c:pt>
                <c:pt idx="99">
                  <c:v>3.4374999999999996</c:v>
                </c:pt>
                <c:pt idx="100">
                  <c:v>3.4374999999999996</c:v>
                </c:pt>
                <c:pt idx="101">
                  <c:v>-1.5625000000000002</c:v>
                </c:pt>
                <c:pt idx="102">
                  <c:v>-1.5625000000000002</c:v>
                </c:pt>
                <c:pt idx="103">
                  <c:v>-1.5625000000000002</c:v>
                </c:pt>
                <c:pt idx="104">
                  <c:v>-1.5625000000000002</c:v>
                </c:pt>
                <c:pt idx="105">
                  <c:v>-1.5625000000000002</c:v>
                </c:pt>
                <c:pt idx="106">
                  <c:v>-1.5625000000000002</c:v>
                </c:pt>
                <c:pt idx="107">
                  <c:v>-1.5625000000000002</c:v>
                </c:pt>
                <c:pt idx="108">
                  <c:v>-1.5625000000000002</c:v>
                </c:pt>
                <c:pt idx="109">
                  <c:v>-1.5625000000000002</c:v>
                </c:pt>
                <c:pt idx="110">
                  <c:v>-1.5625000000000002</c:v>
                </c:pt>
                <c:pt idx="111">
                  <c:v>-1.5625000000000002</c:v>
                </c:pt>
                <c:pt idx="112">
                  <c:v>-1.5625000000000002</c:v>
                </c:pt>
                <c:pt idx="113">
                  <c:v>-1.5625000000000002</c:v>
                </c:pt>
                <c:pt idx="114">
                  <c:v>-1.5625000000000002</c:v>
                </c:pt>
                <c:pt idx="115">
                  <c:v>-1.5625000000000002</c:v>
                </c:pt>
                <c:pt idx="116">
                  <c:v>-1.5625000000000002</c:v>
                </c:pt>
                <c:pt idx="117">
                  <c:v>-1.5625000000000002</c:v>
                </c:pt>
                <c:pt idx="118">
                  <c:v>-1.5625000000000002</c:v>
                </c:pt>
                <c:pt idx="119">
                  <c:v>-1.5625000000000002</c:v>
                </c:pt>
                <c:pt idx="120">
                  <c:v>-1.5625000000000002</c:v>
                </c:pt>
                <c:pt idx="121">
                  <c:v>-1.5625000000000002</c:v>
                </c:pt>
                <c:pt idx="122">
                  <c:v>-1.5625000000000002</c:v>
                </c:pt>
                <c:pt idx="123">
                  <c:v>-1.5625000000000002</c:v>
                </c:pt>
                <c:pt idx="124">
                  <c:v>-1.5625000000000002</c:v>
                </c:pt>
                <c:pt idx="125">
                  <c:v>-1.5625000000000002</c:v>
                </c:pt>
                <c:pt idx="126">
                  <c:v>-1.5625000000000002</c:v>
                </c:pt>
                <c:pt idx="127">
                  <c:v>-1.5625000000000002</c:v>
                </c:pt>
                <c:pt idx="128">
                  <c:v>-1.5625000000000002</c:v>
                </c:pt>
                <c:pt idx="129">
                  <c:v>-1.5625000000000002</c:v>
                </c:pt>
                <c:pt idx="130">
                  <c:v>-1.5625000000000002</c:v>
                </c:pt>
                <c:pt idx="131">
                  <c:v>-1.5625000000000002</c:v>
                </c:pt>
                <c:pt idx="132">
                  <c:v>-1.5625000000000002</c:v>
                </c:pt>
                <c:pt idx="133">
                  <c:v>-1.5625000000000002</c:v>
                </c:pt>
                <c:pt idx="134">
                  <c:v>-1.5625000000000002</c:v>
                </c:pt>
                <c:pt idx="135">
                  <c:v>-1.5625000000000002</c:v>
                </c:pt>
                <c:pt idx="136">
                  <c:v>-1.5625000000000002</c:v>
                </c:pt>
                <c:pt idx="137">
                  <c:v>-1.5625000000000002</c:v>
                </c:pt>
                <c:pt idx="138">
                  <c:v>-1.5625000000000002</c:v>
                </c:pt>
                <c:pt idx="139">
                  <c:v>-1.5625000000000002</c:v>
                </c:pt>
                <c:pt idx="140">
                  <c:v>-1.5625000000000002</c:v>
                </c:pt>
                <c:pt idx="141">
                  <c:v>-1.5625000000000002</c:v>
                </c:pt>
                <c:pt idx="142">
                  <c:v>-1.5625000000000002</c:v>
                </c:pt>
                <c:pt idx="143">
                  <c:v>-1.5625000000000002</c:v>
                </c:pt>
                <c:pt idx="144">
                  <c:v>-1.5625000000000002</c:v>
                </c:pt>
                <c:pt idx="145">
                  <c:v>-1.5625000000000002</c:v>
                </c:pt>
                <c:pt idx="146">
                  <c:v>-1.5625000000000002</c:v>
                </c:pt>
                <c:pt idx="147">
                  <c:v>-1.5625000000000002</c:v>
                </c:pt>
                <c:pt idx="148">
                  <c:v>-1.5625000000000002</c:v>
                </c:pt>
                <c:pt idx="149">
                  <c:v>-1.5625000000000002</c:v>
                </c:pt>
                <c:pt idx="150">
                  <c:v>-1.5625000000000002</c:v>
                </c:pt>
                <c:pt idx="151">
                  <c:v>-1.5625000000000002</c:v>
                </c:pt>
                <c:pt idx="152">
                  <c:v>-1.5625000000000002</c:v>
                </c:pt>
                <c:pt idx="153">
                  <c:v>-1.5625000000000002</c:v>
                </c:pt>
                <c:pt idx="154">
                  <c:v>-1.5625000000000002</c:v>
                </c:pt>
                <c:pt idx="155">
                  <c:v>-1.5625000000000002</c:v>
                </c:pt>
                <c:pt idx="156">
                  <c:v>-1.5625000000000002</c:v>
                </c:pt>
                <c:pt idx="157">
                  <c:v>-1.5625000000000002</c:v>
                </c:pt>
                <c:pt idx="158">
                  <c:v>-1.5625000000000002</c:v>
                </c:pt>
                <c:pt idx="159">
                  <c:v>-1.5625000000000002</c:v>
                </c:pt>
                <c:pt idx="160">
                  <c:v>-1.5625000000000002</c:v>
                </c:pt>
                <c:pt idx="161">
                  <c:v>-1.5625000000000002</c:v>
                </c:pt>
                <c:pt idx="162">
                  <c:v>-1.5625000000000002</c:v>
                </c:pt>
                <c:pt idx="163">
                  <c:v>-1.5625000000000002</c:v>
                </c:pt>
                <c:pt idx="164">
                  <c:v>-1.5625000000000002</c:v>
                </c:pt>
                <c:pt idx="165">
                  <c:v>-1.5625000000000002</c:v>
                </c:pt>
                <c:pt idx="166">
                  <c:v>-1.5625000000000002</c:v>
                </c:pt>
                <c:pt idx="167">
                  <c:v>-1.5625000000000002</c:v>
                </c:pt>
                <c:pt idx="168">
                  <c:v>-1.5625000000000002</c:v>
                </c:pt>
                <c:pt idx="169">
                  <c:v>-1.5625000000000002</c:v>
                </c:pt>
                <c:pt idx="170">
                  <c:v>-1.5625000000000002</c:v>
                </c:pt>
                <c:pt idx="171">
                  <c:v>-1.5625000000000002</c:v>
                </c:pt>
                <c:pt idx="172">
                  <c:v>-1.5625000000000002</c:v>
                </c:pt>
                <c:pt idx="173">
                  <c:v>-1.5625000000000002</c:v>
                </c:pt>
                <c:pt idx="174">
                  <c:v>-1.5625000000000002</c:v>
                </c:pt>
                <c:pt idx="175">
                  <c:v>-1.5625000000000002</c:v>
                </c:pt>
                <c:pt idx="176">
                  <c:v>-1.5625000000000002</c:v>
                </c:pt>
                <c:pt idx="177">
                  <c:v>-1.5625000000000002</c:v>
                </c:pt>
                <c:pt idx="178">
                  <c:v>-1.5625000000000002</c:v>
                </c:pt>
                <c:pt idx="179">
                  <c:v>-1.5625000000000002</c:v>
                </c:pt>
                <c:pt idx="180">
                  <c:v>-1.5625000000000002</c:v>
                </c:pt>
                <c:pt idx="181">
                  <c:v>-1.5625000000000002</c:v>
                </c:pt>
                <c:pt idx="182">
                  <c:v>-1.5625000000000002</c:v>
                </c:pt>
                <c:pt idx="183">
                  <c:v>-1.5625000000000002</c:v>
                </c:pt>
                <c:pt idx="184">
                  <c:v>-1.5625000000000002</c:v>
                </c:pt>
                <c:pt idx="185">
                  <c:v>-1.5625000000000002</c:v>
                </c:pt>
                <c:pt idx="186">
                  <c:v>-1.5625000000000002</c:v>
                </c:pt>
                <c:pt idx="187">
                  <c:v>-1.5625000000000002</c:v>
                </c:pt>
                <c:pt idx="188">
                  <c:v>-1.5625000000000002</c:v>
                </c:pt>
                <c:pt idx="189">
                  <c:v>-1.5625000000000002</c:v>
                </c:pt>
                <c:pt idx="190">
                  <c:v>-1.5625000000000002</c:v>
                </c:pt>
                <c:pt idx="191">
                  <c:v>-1.5625000000000002</c:v>
                </c:pt>
                <c:pt idx="192">
                  <c:v>-1.5625000000000002</c:v>
                </c:pt>
                <c:pt idx="193">
                  <c:v>-1.5625000000000002</c:v>
                </c:pt>
                <c:pt idx="194">
                  <c:v>-1.5625000000000002</c:v>
                </c:pt>
                <c:pt idx="195">
                  <c:v>-1.5625000000000002</c:v>
                </c:pt>
                <c:pt idx="196">
                  <c:v>-1.5625000000000002</c:v>
                </c:pt>
                <c:pt idx="197">
                  <c:v>-1.5625000000000002</c:v>
                </c:pt>
                <c:pt idx="198">
                  <c:v>-1.5625000000000002</c:v>
                </c:pt>
                <c:pt idx="199">
                  <c:v>-1.5625000000000002</c:v>
                </c:pt>
                <c:pt idx="200">
                  <c:v>-1.5625000000000002</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numCache>
            </c:numRef>
          </c:yVal>
          <c:smooth val="0"/>
          <c:extLst>
            <c:ext xmlns:c16="http://schemas.microsoft.com/office/drawing/2014/chart" uri="{C3380CC4-5D6E-409C-BE32-E72D297353CC}">
              <c16:uniqueId val="{00000001-3FAE-4087-B3A6-7E94D61F6931}"/>
            </c:ext>
          </c:extLst>
        </c:ser>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constants!$K$3:$K$6</c:f>
              <c:numCache>
                <c:formatCode>General</c:formatCode>
                <c:ptCount val="4"/>
                <c:pt idx="0">
                  <c:v>3.4374999999999996</c:v>
                </c:pt>
                <c:pt idx="1">
                  <c:v>3.4374999999999996</c:v>
                </c:pt>
                <c:pt idx="2">
                  <c:v>-1.5625000000000002</c:v>
                </c:pt>
                <c:pt idx="3">
                  <c:v>0</c:v>
                </c:pt>
              </c:numCache>
            </c:numRef>
          </c:yVal>
          <c:smooth val="0"/>
          <c:extLst>
            <c:ext xmlns:c16="http://schemas.microsoft.com/office/drawing/2014/chart" uri="{C3380CC4-5D6E-409C-BE32-E72D297353CC}">
              <c16:uniqueId val="{00000002-3FAE-4087-B3A6-7E94D61F6931}"/>
            </c:ext>
          </c:extLst>
        </c:ser>
        <c:dLbls>
          <c:showLegendKey val="0"/>
          <c:showVal val="0"/>
          <c:showCatName val="0"/>
          <c:showSerName val="0"/>
          <c:showPercent val="0"/>
          <c:showBubbleSize val="0"/>
        </c:dLbls>
        <c:axId val="109859200"/>
        <c:axId val="109861504"/>
      </c:scatterChart>
      <c:valAx>
        <c:axId val="109859200"/>
        <c:scaling>
          <c:orientation val="minMax"/>
        </c:scaling>
        <c:delete val="0"/>
        <c:axPos val="b"/>
        <c:title>
          <c:tx>
            <c:strRef>
              <c:f>'Plotting Data'!$B$2</c:f>
              <c:strCache>
                <c:ptCount val="1"/>
                <c:pt idx="0">
                  <c:v>Position</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861504"/>
        <c:crosses val="autoZero"/>
        <c:crossBetween val="midCat"/>
      </c:valAx>
      <c:valAx>
        <c:axId val="109861504"/>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Properties!$F$11</c:f>
              <c:strCache>
                <c:ptCount val="1"/>
                <c:pt idx="0">
                  <c:v>Shear</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8592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Properties!$G$11</c:f>
          <c:strCache>
            <c:ptCount val="1"/>
            <c:pt idx="0">
              <c:v>Load</c:v>
            </c:pt>
          </c:strCache>
        </c:strRef>
      </c:tx>
      <c:layout>
        <c:manualLayout>
          <c:xMode val="edge"/>
          <c:yMode val="edge"/>
          <c:x val="0.49571871628910463"/>
          <c:y val="2.74891774891774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‘All Data'</c:v>
          </c:tx>
          <c:spPr>
            <a:ln w="2540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Data'!$H$3:$H$502</c:f>
              <c:numCache>
                <c:formatCode>General</c:formatCode>
                <c:ptCount val="500"/>
                <c:pt idx="0">
                  <c:v>3.4374999999999996</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-5</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1.5625000000000002</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numCache>
            </c:numRef>
          </c:yVal>
          <c:smooth val="0"/>
          <c:extLst>
            <c:ext xmlns:c16="http://schemas.microsoft.com/office/drawing/2014/chart" uri="{C3380CC4-5D6E-409C-BE32-E72D297353CC}">
              <c16:uniqueId val="{00000001-CCAB-4805-862A-932314D89C31}"/>
            </c:ext>
          </c:extLst>
        </c:ser>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constants!$L$3:$L$6</c:f>
              <c:numCache>
                <c:formatCode>General</c:formatCode>
                <c:ptCount val="4"/>
                <c:pt idx="0">
                  <c:v>3.4374999999999996</c:v>
                </c:pt>
                <c:pt idx="1">
                  <c:v>-5</c:v>
                </c:pt>
                <c:pt idx="2">
                  <c:v>1.5625000000000002</c:v>
                </c:pt>
                <c:pt idx="3">
                  <c:v>0</c:v>
                </c:pt>
              </c:numCache>
            </c:numRef>
          </c:yVal>
          <c:smooth val="0"/>
          <c:extLst>
            <c:ext xmlns:c16="http://schemas.microsoft.com/office/drawing/2014/chart" uri="{C3380CC4-5D6E-409C-BE32-E72D297353CC}">
              <c16:uniqueId val="{00000002-CCAB-4805-862A-932314D89C31}"/>
            </c:ext>
          </c:extLst>
        </c:ser>
        <c:dLbls>
          <c:showLegendKey val="0"/>
          <c:showVal val="0"/>
          <c:showCatName val="0"/>
          <c:showSerName val="0"/>
          <c:showPercent val="0"/>
          <c:showBubbleSize val="0"/>
        </c:dLbls>
        <c:axId val="49284992"/>
        <c:axId val="49299840"/>
      </c:scatterChart>
      <c:valAx>
        <c:axId val="49284992"/>
        <c:scaling>
          <c:orientation val="minMax"/>
        </c:scaling>
        <c:delete val="0"/>
        <c:axPos val="b"/>
        <c:title>
          <c:tx>
            <c:strRef>
              <c:f>'Plotting Data'!$B$2</c:f>
              <c:strCache>
                <c:ptCount val="1"/>
                <c:pt idx="0">
                  <c:v>Position</c:v>
                </c:pt>
              </c:strCache>
            </c:strRef>
          </c:tx>
          <c:layout>
            <c:manualLayout>
              <c:xMode val="edge"/>
              <c:yMode val="edge"/>
              <c:x val="0.49740358683926639"/>
              <c:y val="0.8982669552669552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99840"/>
        <c:crosses val="autoZero"/>
        <c:crossBetween val="midCat"/>
      </c:valAx>
      <c:valAx>
        <c:axId val="49299840"/>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Properties!$G$11</c:f>
              <c:strCache>
                <c:ptCount val="1"/>
                <c:pt idx="0">
                  <c:v>Load</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8499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Properties!$D$11</c:f>
          <c:strCache>
            <c:ptCount val="1"/>
            <c:pt idx="0">
              <c:v>Curvature</c:v>
            </c:pt>
          </c:strCache>
        </c:strRef>
      </c:tx>
      <c:layout/>
      <c:overlay val="0"/>
      <c:spPr>
        <a:noFill/>
        <a:ln>
          <a:noFill/>
        </a:ln>
        <a:effectLst/>
      </c:spPr>
      <c:txPr>
        <a:bodyPr rot="0" spcFirstLastPara="1" vertOverflow="ellipsis" vert="horz" wrap="square" anchor="ctr" anchorCtr="1"/>
        <a:lstStyle/>
        <a:p>
          <a:pPr>
            <a:defRPr sz="135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constants!$I$3:$I$6</c:f>
              <c:numCache>
                <c:formatCode>General</c:formatCode>
                <c:ptCount val="4"/>
                <c:pt idx="0">
                  <c:v>-8.6266390614216704</c:v>
                </c:pt>
                <c:pt idx="1">
                  <c:v>7.1888658845180569</c:v>
                </c:pt>
                <c:pt idx="2">
                  <c:v>0</c:v>
                </c:pt>
                <c:pt idx="3">
                  <c:v>0</c:v>
                </c:pt>
              </c:numCache>
            </c:numRef>
          </c:yVal>
          <c:smooth val="0"/>
          <c:extLst>
            <c:ext xmlns:c16="http://schemas.microsoft.com/office/drawing/2014/chart" uri="{C3380CC4-5D6E-409C-BE32-E72D297353CC}">
              <c16:uniqueId val="{00000002-4841-4F6A-B952-A21DDD9BD239}"/>
            </c:ext>
          </c:extLst>
        </c:ser>
        <c:dLbls>
          <c:showLegendKey val="0"/>
          <c:showVal val="0"/>
          <c:showCatName val="0"/>
          <c:showSerName val="0"/>
          <c:showPercent val="0"/>
          <c:showBubbleSize val="0"/>
        </c:dLbls>
        <c:axId val="50816896"/>
        <c:axId val="50839552"/>
      </c:scatterChart>
      <c:scatterChart>
        <c:scatterStyle val="smoothMarker"/>
        <c:varyColors val="0"/>
        <c:ser>
          <c:idx val="0"/>
          <c:order val="0"/>
          <c:tx>
            <c:v>‘All Data'</c:v>
          </c:tx>
          <c:spPr>
            <a:ln w="1905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Data'!$E$3:$E$502</c:f>
              <c:numCache>
                <c:formatCode>General</c:formatCode>
                <c:ptCount val="500"/>
                <c:pt idx="0">
                  <c:v>-8.6266390614216704</c:v>
                </c:pt>
                <c:pt idx="1">
                  <c:v>-8.4684840119622731</c:v>
                </c:pt>
                <c:pt idx="2">
                  <c:v>-8.3103289625028758</c:v>
                </c:pt>
                <c:pt idx="3">
                  <c:v>-8.1521739130434785</c:v>
                </c:pt>
                <c:pt idx="4">
                  <c:v>-7.9940188635840812</c:v>
                </c:pt>
                <c:pt idx="5">
                  <c:v>-7.8358638141246839</c:v>
                </c:pt>
                <c:pt idx="6">
                  <c:v>-7.6777087646652866</c:v>
                </c:pt>
                <c:pt idx="7">
                  <c:v>-7.5195537152058893</c:v>
                </c:pt>
                <c:pt idx="8">
                  <c:v>-7.361398665746492</c:v>
                </c:pt>
                <c:pt idx="9">
                  <c:v>-7.2032436162870948</c:v>
                </c:pt>
                <c:pt idx="10">
                  <c:v>-7.0450885668276975</c:v>
                </c:pt>
                <c:pt idx="11">
                  <c:v>-6.8869335173683002</c:v>
                </c:pt>
                <c:pt idx="12">
                  <c:v>-6.7287784679089029</c:v>
                </c:pt>
                <c:pt idx="13">
                  <c:v>-6.5706234184495056</c:v>
                </c:pt>
                <c:pt idx="14">
                  <c:v>-6.4124683689901083</c:v>
                </c:pt>
                <c:pt idx="15">
                  <c:v>-6.254313319530711</c:v>
                </c:pt>
                <c:pt idx="16">
                  <c:v>-6.0961582700713137</c:v>
                </c:pt>
                <c:pt idx="17">
                  <c:v>-5.9380032206119164</c:v>
                </c:pt>
                <c:pt idx="18">
                  <c:v>-5.7798481711525191</c:v>
                </c:pt>
                <c:pt idx="19">
                  <c:v>-5.6216931216931219</c:v>
                </c:pt>
                <c:pt idx="20">
                  <c:v>-5.4635380722337246</c:v>
                </c:pt>
                <c:pt idx="21">
                  <c:v>-5.3053830227743273</c:v>
                </c:pt>
                <c:pt idx="22">
                  <c:v>-5.14722797331493</c:v>
                </c:pt>
                <c:pt idx="23">
                  <c:v>-4.9890729238555327</c:v>
                </c:pt>
                <c:pt idx="24">
                  <c:v>-4.8309178743961354</c:v>
                </c:pt>
                <c:pt idx="25">
                  <c:v>-4.6727628249367381</c:v>
                </c:pt>
                <c:pt idx="26">
                  <c:v>-4.5146077754773408</c:v>
                </c:pt>
                <c:pt idx="27">
                  <c:v>-4.3564527260179435</c:v>
                </c:pt>
                <c:pt idx="28">
                  <c:v>-4.1982976765585462</c:v>
                </c:pt>
                <c:pt idx="29">
                  <c:v>-4.0401426270991498</c:v>
                </c:pt>
                <c:pt idx="30">
                  <c:v>-3.8819875776397526</c:v>
                </c:pt>
                <c:pt idx="31">
                  <c:v>-3.7238325281803553</c:v>
                </c:pt>
                <c:pt idx="32">
                  <c:v>-3.565677478720958</c:v>
                </c:pt>
                <c:pt idx="33">
                  <c:v>-3.4075224292615607</c:v>
                </c:pt>
                <c:pt idx="34">
                  <c:v>-3.2493673798021634</c:v>
                </c:pt>
                <c:pt idx="35">
                  <c:v>-3.091212330342767</c:v>
                </c:pt>
                <c:pt idx="36">
                  <c:v>-2.9330572808833679</c:v>
                </c:pt>
                <c:pt idx="37">
                  <c:v>-2.7749022314239715</c:v>
                </c:pt>
                <c:pt idx="38">
                  <c:v>-2.6167471819645733</c:v>
                </c:pt>
                <c:pt idx="39">
                  <c:v>-2.6167471819645733</c:v>
                </c:pt>
                <c:pt idx="40">
                  <c:v>-2.3004370830457788</c:v>
                </c:pt>
                <c:pt idx="41">
                  <c:v>-2.1422820335863824</c:v>
                </c:pt>
                <c:pt idx="42">
                  <c:v>-1.9841269841269851</c:v>
                </c:pt>
                <c:pt idx="43">
                  <c:v>-1.8259719346675878</c:v>
                </c:pt>
                <c:pt idx="44">
                  <c:v>-1.6678168852081905</c:v>
                </c:pt>
                <c:pt idx="45">
                  <c:v>-1.5096618357487923</c:v>
                </c:pt>
                <c:pt idx="46">
                  <c:v>-1.351506786289395</c:v>
                </c:pt>
                <c:pt idx="47">
                  <c:v>-1.1933517368299986</c:v>
                </c:pt>
                <c:pt idx="48">
                  <c:v>-1.0351966873706013</c:v>
                </c:pt>
                <c:pt idx="49">
                  <c:v>-0.87704163791120404</c:v>
                </c:pt>
                <c:pt idx="50">
                  <c:v>-0.71888658845180675</c:v>
                </c:pt>
                <c:pt idx="51">
                  <c:v>-0.56073153899240857</c:v>
                </c:pt>
                <c:pt idx="52">
                  <c:v>-0.40257648953301128</c:v>
                </c:pt>
                <c:pt idx="53">
                  <c:v>-0.24442144007361399</c:v>
                </c:pt>
                <c:pt idx="54">
                  <c:v>-8.6266390614216704E-2</c:v>
                </c:pt>
                <c:pt idx="55">
                  <c:v>7.1888658845180586E-2</c:v>
                </c:pt>
                <c:pt idx="56">
                  <c:v>0.23004370830457788</c:v>
                </c:pt>
                <c:pt idx="57">
                  <c:v>0.38819875776397339</c:v>
                </c:pt>
                <c:pt idx="58">
                  <c:v>0.54635380722337068</c:v>
                </c:pt>
                <c:pt idx="59">
                  <c:v>0.70450885668276797</c:v>
                </c:pt>
                <c:pt idx="60">
                  <c:v>0.86266390614216526</c:v>
                </c:pt>
                <c:pt idx="61">
                  <c:v>1.0208189556015643</c:v>
                </c:pt>
                <c:pt idx="62">
                  <c:v>1.1789740050609598</c:v>
                </c:pt>
                <c:pt idx="63">
                  <c:v>1.3371290545203589</c:v>
                </c:pt>
                <c:pt idx="64">
                  <c:v>1.4952841039797544</c:v>
                </c:pt>
                <c:pt idx="65">
                  <c:v>1.6534391534391535</c:v>
                </c:pt>
                <c:pt idx="66">
                  <c:v>1.811594202898549</c:v>
                </c:pt>
                <c:pt idx="67">
                  <c:v>1.9697492523579481</c:v>
                </c:pt>
                <c:pt idx="68">
                  <c:v>2.1279043018173436</c:v>
                </c:pt>
                <c:pt idx="69">
                  <c:v>2.2860593512767409</c:v>
                </c:pt>
                <c:pt idx="70">
                  <c:v>2.4442144007361364</c:v>
                </c:pt>
                <c:pt idx="71">
                  <c:v>2.6023694501955354</c:v>
                </c:pt>
                <c:pt idx="72">
                  <c:v>2.7605244996549345</c:v>
                </c:pt>
                <c:pt idx="73">
                  <c:v>2.91867954911433</c:v>
                </c:pt>
                <c:pt idx="74">
                  <c:v>3.0768345985737273</c:v>
                </c:pt>
                <c:pt idx="75">
                  <c:v>3.2349896480331246</c:v>
                </c:pt>
                <c:pt idx="76">
                  <c:v>3.3931446974925237</c:v>
                </c:pt>
                <c:pt idx="77">
                  <c:v>3.5512997469519192</c:v>
                </c:pt>
                <c:pt idx="78">
                  <c:v>3.7094547964113165</c:v>
                </c:pt>
                <c:pt idx="79">
                  <c:v>3.8676098458707155</c:v>
                </c:pt>
                <c:pt idx="80">
                  <c:v>4.0257648953301128</c:v>
                </c:pt>
                <c:pt idx="81">
                  <c:v>4.1839199447895101</c:v>
                </c:pt>
                <c:pt idx="82">
                  <c:v>4.3420749942489056</c:v>
                </c:pt>
                <c:pt idx="83">
                  <c:v>4.5002300437083012</c:v>
                </c:pt>
                <c:pt idx="84">
                  <c:v>4.6583850931677002</c:v>
                </c:pt>
                <c:pt idx="85">
                  <c:v>4.8165401426270975</c:v>
                </c:pt>
                <c:pt idx="86">
                  <c:v>4.9746951920864948</c:v>
                </c:pt>
                <c:pt idx="87">
                  <c:v>5.1328502415458921</c:v>
                </c:pt>
                <c:pt idx="88">
                  <c:v>5.2910052910052894</c:v>
                </c:pt>
                <c:pt idx="89">
                  <c:v>5.4491603404646867</c:v>
                </c:pt>
                <c:pt idx="90">
                  <c:v>5.6073153899240857</c:v>
                </c:pt>
                <c:pt idx="91">
                  <c:v>5.7654704393834812</c:v>
                </c:pt>
                <c:pt idx="92">
                  <c:v>5.9236254888428803</c:v>
                </c:pt>
                <c:pt idx="93">
                  <c:v>6.0817805383022758</c:v>
                </c:pt>
                <c:pt idx="94">
                  <c:v>6.2399355877616731</c:v>
                </c:pt>
                <c:pt idx="95">
                  <c:v>6.3980906372210686</c:v>
                </c:pt>
                <c:pt idx="96">
                  <c:v>6.5562456866804677</c:v>
                </c:pt>
                <c:pt idx="97">
                  <c:v>6.714400736139865</c:v>
                </c:pt>
                <c:pt idx="98">
                  <c:v>6.8725557855992623</c:v>
                </c:pt>
                <c:pt idx="99">
                  <c:v>7.0307108350586578</c:v>
                </c:pt>
                <c:pt idx="100">
                  <c:v>7.1888658845180569</c:v>
                </c:pt>
                <c:pt idx="101">
                  <c:v>7.116977225672878</c:v>
                </c:pt>
                <c:pt idx="102">
                  <c:v>7.0450885668276984</c:v>
                </c:pt>
                <c:pt idx="103">
                  <c:v>6.9731999079825178</c:v>
                </c:pt>
                <c:pt idx="104">
                  <c:v>6.9013112491373372</c:v>
                </c:pt>
                <c:pt idx="105">
                  <c:v>6.8294225902921557</c:v>
                </c:pt>
                <c:pt idx="106">
                  <c:v>6.757533931446976</c:v>
                </c:pt>
                <c:pt idx="107">
                  <c:v>6.6856452726017954</c:v>
                </c:pt>
                <c:pt idx="108">
                  <c:v>6.6137566137566139</c:v>
                </c:pt>
                <c:pt idx="109">
                  <c:v>6.5418679549114334</c:v>
                </c:pt>
                <c:pt idx="110">
                  <c:v>6.4699792960662528</c:v>
                </c:pt>
                <c:pt idx="111">
                  <c:v>6.3980906372210731</c:v>
                </c:pt>
                <c:pt idx="112">
                  <c:v>6.3262019783758916</c:v>
                </c:pt>
                <c:pt idx="113">
                  <c:v>6.2543133195307128</c:v>
                </c:pt>
                <c:pt idx="114">
                  <c:v>6.1824246606855304</c:v>
                </c:pt>
                <c:pt idx="115">
                  <c:v>6.1105360018403516</c:v>
                </c:pt>
                <c:pt idx="116">
                  <c:v>6.038647342995171</c:v>
                </c:pt>
                <c:pt idx="117">
                  <c:v>5.9667586841499904</c:v>
                </c:pt>
                <c:pt idx="118">
                  <c:v>5.8948700253048081</c:v>
                </c:pt>
                <c:pt idx="119">
                  <c:v>5.8229813664596293</c:v>
                </c:pt>
                <c:pt idx="120">
                  <c:v>5.7510927076144487</c:v>
                </c:pt>
                <c:pt idx="121">
                  <c:v>5.6792040487692681</c:v>
                </c:pt>
                <c:pt idx="122">
                  <c:v>5.6073153899240857</c:v>
                </c:pt>
                <c:pt idx="123">
                  <c:v>5.5354267310789051</c:v>
                </c:pt>
                <c:pt idx="124">
                  <c:v>5.4635380722337263</c:v>
                </c:pt>
                <c:pt idx="125">
                  <c:v>5.391649413388544</c:v>
                </c:pt>
                <c:pt idx="126">
                  <c:v>5.3197607545433634</c:v>
                </c:pt>
                <c:pt idx="127">
                  <c:v>5.2478720956981828</c:v>
                </c:pt>
                <c:pt idx="128">
                  <c:v>5.175983436853004</c:v>
                </c:pt>
                <c:pt idx="129">
                  <c:v>5.1040947780078216</c:v>
                </c:pt>
                <c:pt idx="130">
                  <c:v>5.032206119162641</c:v>
                </c:pt>
                <c:pt idx="131">
                  <c:v>4.9603174603174605</c:v>
                </c:pt>
                <c:pt idx="132">
                  <c:v>4.8884288014722799</c:v>
                </c:pt>
                <c:pt idx="133">
                  <c:v>4.8165401426270993</c:v>
                </c:pt>
                <c:pt idx="134">
                  <c:v>4.7446514837819187</c:v>
                </c:pt>
                <c:pt idx="135">
                  <c:v>4.6727628249367363</c:v>
                </c:pt>
                <c:pt idx="136">
                  <c:v>4.6008741660915575</c:v>
                </c:pt>
                <c:pt idx="137">
                  <c:v>4.5289855072463769</c:v>
                </c:pt>
                <c:pt idx="138">
                  <c:v>4.4570968484011981</c:v>
                </c:pt>
                <c:pt idx="139">
                  <c:v>4.3852081895560158</c:v>
                </c:pt>
                <c:pt idx="140">
                  <c:v>4.313319530710837</c:v>
                </c:pt>
                <c:pt idx="141">
                  <c:v>4.2414308718656564</c:v>
                </c:pt>
                <c:pt idx="142">
                  <c:v>4.1695422130204758</c:v>
                </c:pt>
                <c:pt idx="143">
                  <c:v>4.0976535541752934</c:v>
                </c:pt>
                <c:pt idx="144">
                  <c:v>4.0257648953301128</c:v>
                </c:pt>
                <c:pt idx="145">
                  <c:v>3.953876236484934</c:v>
                </c:pt>
                <c:pt idx="146">
                  <c:v>3.8819875776397517</c:v>
                </c:pt>
                <c:pt idx="147">
                  <c:v>3.8100989187945711</c:v>
                </c:pt>
                <c:pt idx="148">
                  <c:v>3.7382102599493923</c:v>
                </c:pt>
                <c:pt idx="149">
                  <c:v>3.6663216011042117</c:v>
                </c:pt>
                <c:pt idx="150">
                  <c:v>3.5944329422590293</c:v>
                </c:pt>
                <c:pt idx="151">
                  <c:v>3.5225442834138487</c:v>
                </c:pt>
                <c:pt idx="152">
                  <c:v>3.4506556245686681</c:v>
                </c:pt>
                <c:pt idx="153">
                  <c:v>3.3787669657234876</c:v>
                </c:pt>
                <c:pt idx="154">
                  <c:v>3.306878306878307</c:v>
                </c:pt>
                <c:pt idx="155">
                  <c:v>3.2349896480331264</c:v>
                </c:pt>
                <c:pt idx="156">
                  <c:v>3.1631009891879476</c:v>
                </c:pt>
                <c:pt idx="157">
                  <c:v>3.091212330342767</c:v>
                </c:pt>
                <c:pt idx="158">
                  <c:v>3.0193236714975846</c:v>
                </c:pt>
                <c:pt idx="159">
                  <c:v>2.9474350126524058</c:v>
                </c:pt>
                <c:pt idx="160">
                  <c:v>2.8755463538072217</c:v>
                </c:pt>
                <c:pt idx="161">
                  <c:v>2.8036576949620429</c:v>
                </c:pt>
                <c:pt idx="162">
                  <c:v>2.7317690361168623</c:v>
                </c:pt>
                <c:pt idx="163">
                  <c:v>2.6598803772716835</c:v>
                </c:pt>
                <c:pt idx="164">
                  <c:v>2.5879917184265011</c:v>
                </c:pt>
                <c:pt idx="165">
                  <c:v>2.5161030595813223</c:v>
                </c:pt>
                <c:pt idx="166">
                  <c:v>2.4442144007361399</c:v>
                </c:pt>
                <c:pt idx="167">
                  <c:v>2.3723257418909593</c:v>
                </c:pt>
                <c:pt idx="168">
                  <c:v>2.300437083045777</c:v>
                </c:pt>
                <c:pt idx="169">
                  <c:v>2.2285484242005982</c:v>
                </c:pt>
                <c:pt idx="170">
                  <c:v>2.1566597653554194</c:v>
                </c:pt>
                <c:pt idx="171">
                  <c:v>2.084771106510237</c:v>
                </c:pt>
                <c:pt idx="172">
                  <c:v>2.0128824476650564</c:v>
                </c:pt>
                <c:pt idx="173">
                  <c:v>1.9409937888198776</c:v>
                </c:pt>
                <c:pt idx="174">
                  <c:v>1.8691051299746952</c:v>
                </c:pt>
                <c:pt idx="175">
                  <c:v>1.7972164711295147</c:v>
                </c:pt>
                <c:pt idx="176">
                  <c:v>1.7253278122843341</c:v>
                </c:pt>
                <c:pt idx="177">
                  <c:v>1.6534391534391517</c:v>
                </c:pt>
                <c:pt idx="178">
                  <c:v>1.5815504945939729</c:v>
                </c:pt>
                <c:pt idx="179">
                  <c:v>1.5096618357487923</c:v>
                </c:pt>
                <c:pt idx="180">
                  <c:v>1.4377731769036117</c:v>
                </c:pt>
                <c:pt idx="181">
                  <c:v>1.3658845180584311</c:v>
                </c:pt>
                <c:pt idx="182">
                  <c:v>1.2939958592132523</c:v>
                </c:pt>
                <c:pt idx="183">
                  <c:v>1.22210720036807</c:v>
                </c:pt>
                <c:pt idx="184">
                  <c:v>1.1502185415228912</c:v>
                </c:pt>
                <c:pt idx="185">
                  <c:v>1.078329882677707</c:v>
                </c:pt>
                <c:pt idx="186">
                  <c:v>1.0064412238325282</c:v>
                </c:pt>
                <c:pt idx="187">
                  <c:v>0.93455256498734762</c:v>
                </c:pt>
                <c:pt idx="188">
                  <c:v>0.86266390614216704</c:v>
                </c:pt>
                <c:pt idx="189">
                  <c:v>0.79077524729698645</c:v>
                </c:pt>
                <c:pt idx="190">
                  <c:v>0.71888658845180764</c:v>
                </c:pt>
                <c:pt idx="191">
                  <c:v>0.6469979296066235</c:v>
                </c:pt>
                <c:pt idx="192">
                  <c:v>0.57510927076144469</c:v>
                </c:pt>
                <c:pt idx="193">
                  <c:v>0.50322061191626233</c:v>
                </c:pt>
                <c:pt idx="194">
                  <c:v>0.43133195307108352</c:v>
                </c:pt>
                <c:pt idx="195">
                  <c:v>0.35944329422590471</c:v>
                </c:pt>
                <c:pt idx="196">
                  <c:v>0.28755463538072235</c:v>
                </c:pt>
                <c:pt idx="197">
                  <c:v>0.21566597653554176</c:v>
                </c:pt>
                <c:pt idx="198">
                  <c:v>0.14377731769036295</c:v>
                </c:pt>
                <c:pt idx="199">
                  <c:v>7.1888658845180586E-2</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numCache>
            </c:numRef>
          </c:yVal>
          <c:smooth val="1"/>
          <c:extLst>
            <c:ext xmlns:c16="http://schemas.microsoft.com/office/drawing/2014/chart" uri="{C3380CC4-5D6E-409C-BE32-E72D297353CC}">
              <c16:uniqueId val="{00000001-4841-4F6A-B952-A21DDD9BD239}"/>
            </c:ext>
          </c:extLst>
        </c:ser>
        <c:dLbls>
          <c:showLegendKey val="0"/>
          <c:showVal val="0"/>
          <c:showCatName val="0"/>
          <c:showSerName val="0"/>
          <c:showPercent val="0"/>
          <c:showBubbleSize val="0"/>
        </c:dLbls>
        <c:axId val="50816896"/>
        <c:axId val="50839552"/>
      </c:scatterChart>
      <c:valAx>
        <c:axId val="50816896"/>
        <c:scaling>
          <c:orientation val="minMax"/>
        </c:scaling>
        <c:delete val="0"/>
        <c:axPos val="b"/>
        <c:title>
          <c:tx>
            <c:strRef>
              <c:f>'Plotting Data'!$B$2</c:f>
              <c:strCache>
                <c:ptCount val="1"/>
                <c:pt idx="0">
                  <c:v>Position</c:v>
                </c:pt>
              </c:strCache>
            </c:strRef>
          </c:tx>
          <c:layout/>
          <c:overlay val="0"/>
          <c:spPr>
            <a:noFill/>
            <a:ln>
              <a:noFill/>
            </a:ln>
            <a:effectLst/>
          </c:spPr>
          <c:txPr>
            <a:bodyPr rot="0" spcFirstLastPara="1" vertOverflow="ellipsis" vert="horz" wrap="square" anchor="ctr" anchorCtr="1"/>
            <a:lstStyle/>
            <a:p>
              <a:pPr>
                <a:defRPr sz="950" b="0" i="0" u="none" strike="noStrike" kern="1200" baseline="0">
                  <a:solidFill>
                    <a:schemeClr val="tx1">
                      <a:lumMod val="65000"/>
                      <a:lumOff val="35000"/>
                    </a:schemeClr>
                  </a:solidFill>
                  <a:latin typeface="+mn-lt"/>
                  <a:ea typeface="+mn-ea"/>
                  <a:cs typeface="+mn-cs"/>
                </a:defRPr>
              </a:pPr>
              <a:endParaRPr lang="en-US"/>
            </a:p>
          </c:txPr>
        </c:title>
        <c:numFmt formatCode="0.000_);[Red]\(0.000\)"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39552"/>
        <c:crosses val="autoZero"/>
        <c:crossBetween val="midCat"/>
      </c:valAx>
      <c:valAx>
        <c:axId val="50839552"/>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Properties!$D$11</c:f>
              <c:strCache>
                <c:ptCount val="1"/>
                <c:pt idx="0">
                  <c:v>Curvature</c:v>
                </c:pt>
              </c:strCache>
            </c:strRef>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689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Properties!$E$11</c:f>
          <c:strCache>
            <c:ptCount val="1"/>
            <c:pt idx="0">
              <c:v>Moment</c:v>
            </c:pt>
          </c:strCache>
        </c:strRef>
      </c:tx>
      <c:layout/>
      <c:overlay val="0"/>
      <c:spPr>
        <a:noFill/>
        <a:ln>
          <a:noFill/>
        </a:ln>
        <a:effectLst/>
      </c:spPr>
      <c:txPr>
        <a:bodyPr rot="0" spcFirstLastPara="1" vertOverflow="ellipsis" vert="horz" wrap="square" anchor="ctr" anchorCtr="1"/>
        <a:lstStyle/>
        <a:p>
          <a:pPr>
            <a:defRPr sz="135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1"/>
          <c:tx>
            <c:v>Important Data</c:v>
          </c:tx>
          <c:spPr>
            <a:ln w="25400" cap="rnd">
              <a:noFill/>
              <a:round/>
            </a:ln>
            <a:effectLst/>
          </c:spPr>
          <c:marker>
            <c:symbol val="circle"/>
            <c:size val="5"/>
            <c:spPr>
              <a:solidFill>
                <a:schemeClr val="accent2"/>
              </a:solidFill>
              <a:ln w="9525">
                <a:solidFill>
                  <a:schemeClr val="accent2"/>
                </a:solidFill>
              </a:ln>
              <a:effectLst/>
            </c:spPr>
          </c:marker>
          <c:xVal>
            <c:numRef>
              <c:f>constants!$F$3:$F$6</c:f>
              <c:numCache>
                <c:formatCode>0.000_);[Red]\(0.000\)</c:formatCode>
                <c:ptCount val="4"/>
                <c:pt idx="0">
                  <c:v>0</c:v>
                </c:pt>
                <c:pt idx="1">
                  <c:v>1</c:v>
                </c:pt>
                <c:pt idx="2">
                  <c:v>2</c:v>
                </c:pt>
                <c:pt idx="3">
                  <c:v>4</c:v>
                </c:pt>
              </c:numCache>
            </c:numRef>
          </c:xVal>
          <c:yVal>
            <c:numRef>
              <c:f>constants!$J$3:$J$6</c:f>
              <c:numCache>
                <c:formatCode>General</c:formatCode>
                <c:ptCount val="4"/>
                <c:pt idx="0">
                  <c:v>-1.875</c:v>
                </c:pt>
                <c:pt idx="1">
                  <c:v>1.5624999999999996</c:v>
                </c:pt>
                <c:pt idx="2">
                  <c:v>0</c:v>
                </c:pt>
                <c:pt idx="3">
                  <c:v>0</c:v>
                </c:pt>
              </c:numCache>
            </c:numRef>
          </c:yVal>
          <c:smooth val="0"/>
          <c:extLst>
            <c:ext xmlns:c16="http://schemas.microsoft.com/office/drawing/2014/chart" uri="{C3380CC4-5D6E-409C-BE32-E72D297353CC}">
              <c16:uniqueId val="{00000002-E637-41E5-8139-BF89E3B442DC}"/>
            </c:ext>
          </c:extLst>
        </c:ser>
        <c:dLbls>
          <c:showLegendKey val="0"/>
          <c:showVal val="0"/>
          <c:showCatName val="0"/>
          <c:showSerName val="0"/>
          <c:showPercent val="0"/>
          <c:showBubbleSize val="0"/>
        </c:dLbls>
        <c:axId val="50876800"/>
        <c:axId val="50878336"/>
      </c:scatterChart>
      <c:scatterChart>
        <c:scatterStyle val="smoothMarker"/>
        <c:varyColors val="0"/>
        <c:ser>
          <c:idx val="0"/>
          <c:order val="0"/>
          <c:tx>
            <c:v>‘All Data'</c:v>
          </c:tx>
          <c:spPr>
            <a:ln w="19050" cap="rnd">
              <a:solidFill>
                <a:schemeClr val="accent1"/>
              </a:solidFill>
              <a:round/>
            </a:ln>
            <a:effectLst/>
          </c:spPr>
          <c:marker>
            <c:symbol val="none"/>
          </c:marker>
          <c:xVal>
            <c:numRef>
              <c:f>[0]!Xaxis</c:f>
              <c:numCache>
                <c:formatCode>General</c:formatCode>
                <c:ptCount val="30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0.38</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1.1400000000000001</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1.3599999999999999</c:v>
                </c:pt>
                <c:pt idx="137">
                  <c:v>1.37</c:v>
                </c:pt>
                <c:pt idx="138">
                  <c:v>1.38</c:v>
                </c:pt>
                <c:pt idx="139">
                  <c:v>1.3900000000000001</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1.5699999999999998</c:v>
                </c:pt>
                <c:pt idx="158">
                  <c:v>1.58</c:v>
                </c:pt>
                <c:pt idx="159">
                  <c:v>1.5899999999999999</c:v>
                </c:pt>
                <c:pt idx="160">
                  <c:v>1.6</c:v>
                </c:pt>
                <c:pt idx="161">
                  <c:v>1.6099999999999999</c:v>
                </c:pt>
                <c:pt idx="162">
                  <c:v>1.62</c:v>
                </c:pt>
                <c:pt idx="163">
                  <c:v>1.63</c:v>
                </c:pt>
                <c:pt idx="164">
                  <c:v>1.6400000000000001</c:v>
                </c:pt>
                <c:pt idx="165">
                  <c:v>1.65</c:v>
                </c:pt>
                <c:pt idx="166">
                  <c:v>1.6600000000000001</c:v>
                </c:pt>
                <c:pt idx="167">
                  <c:v>1.67</c:v>
                </c:pt>
                <c:pt idx="168">
                  <c:v>1.6800000000000002</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1.8199999999999998</c:v>
                </c:pt>
                <c:pt idx="183">
                  <c:v>1.83</c:v>
                </c:pt>
                <c:pt idx="184">
                  <c:v>1.8399999999999999</c:v>
                </c:pt>
                <c:pt idx="185">
                  <c:v>1.85</c:v>
                </c:pt>
                <c:pt idx="186">
                  <c:v>1.8599999999999999</c:v>
                </c:pt>
                <c:pt idx="187">
                  <c:v>1.87</c:v>
                </c:pt>
                <c:pt idx="188">
                  <c:v>1.88</c:v>
                </c:pt>
                <c:pt idx="189">
                  <c:v>1.8900000000000001</c:v>
                </c:pt>
                <c:pt idx="190">
                  <c:v>1.9</c:v>
                </c:pt>
                <c:pt idx="191">
                  <c:v>1.9100000000000001</c:v>
                </c:pt>
                <c:pt idx="192">
                  <c:v>1.92</c:v>
                </c:pt>
                <c:pt idx="193">
                  <c:v>1.9300000000000002</c:v>
                </c:pt>
                <c:pt idx="194">
                  <c:v>1.94</c:v>
                </c:pt>
                <c:pt idx="195">
                  <c:v>1.95</c:v>
                </c:pt>
                <c:pt idx="196">
                  <c:v>1.96</c:v>
                </c:pt>
                <c:pt idx="197">
                  <c:v>1.97</c:v>
                </c:pt>
                <c:pt idx="198">
                  <c:v>1.98</c:v>
                </c:pt>
                <c:pt idx="199">
                  <c:v>1.99</c:v>
                </c:pt>
                <c:pt idx="200">
                  <c:v>2</c:v>
                </c:pt>
                <c:pt idx="201">
                  <c:v>2.02</c:v>
                </c:pt>
                <c:pt idx="202">
                  <c:v>2.04</c:v>
                </c:pt>
                <c:pt idx="203">
                  <c:v>2.06</c:v>
                </c:pt>
                <c:pt idx="204">
                  <c:v>2.08</c:v>
                </c:pt>
                <c:pt idx="205">
                  <c:v>2.1</c:v>
                </c:pt>
                <c:pt idx="206">
                  <c:v>2.12</c:v>
                </c:pt>
                <c:pt idx="207">
                  <c:v>2.14</c:v>
                </c:pt>
                <c:pt idx="208">
                  <c:v>2.16</c:v>
                </c:pt>
                <c:pt idx="209">
                  <c:v>2.1800000000000002</c:v>
                </c:pt>
                <c:pt idx="210">
                  <c:v>2.2000000000000002</c:v>
                </c:pt>
                <c:pt idx="211">
                  <c:v>2.2200000000000002</c:v>
                </c:pt>
                <c:pt idx="212">
                  <c:v>2.2400000000000002</c:v>
                </c:pt>
                <c:pt idx="213">
                  <c:v>2.2599999999999998</c:v>
                </c:pt>
                <c:pt idx="214">
                  <c:v>2.2800000000000002</c:v>
                </c:pt>
                <c:pt idx="215">
                  <c:v>2.2999999999999998</c:v>
                </c:pt>
                <c:pt idx="216">
                  <c:v>2.3199999999999998</c:v>
                </c:pt>
                <c:pt idx="217">
                  <c:v>2.34</c:v>
                </c:pt>
                <c:pt idx="218">
                  <c:v>2.36</c:v>
                </c:pt>
                <c:pt idx="219">
                  <c:v>2.38</c:v>
                </c:pt>
                <c:pt idx="220">
                  <c:v>2.4</c:v>
                </c:pt>
                <c:pt idx="221">
                  <c:v>2.42</c:v>
                </c:pt>
                <c:pt idx="222">
                  <c:v>2.44</c:v>
                </c:pt>
                <c:pt idx="223">
                  <c:v>2.46</c:v>
                </c:pt>
                <c:pt idx="224">
                  <c:v>2.48</c:v>
                </c:pt>
                <c:pt idx="225">
                  <c:v>2.5</c:v>
                </c:pt>
                <c:pt idx="226">
                  <c:v>2.52</c:v>
                </c:pt>
                <c:pt idx="227">
                  <c:v>2.54</c:v>
                </c:pt>
                <c:pt idx="228">
                  <c:v>2.56</c:v>
                </c:pt>
                <c:pt idx="229">
                  <c:v>2.58</c:v>
                </c:pt>
                <c:pt idx="230">
                  <c:v>2.6</c:v>
                </c:pt>
                <c:pt idx="231">
                  <c:v>2.62</c:v>
                </c:pt>
                <c:pt idx="232">
                  <c:v>2.64</c:v>
                </c:pt>
                <c:pt idx="233">
                  <c:v>2.66</c:v>
                </c:pt>
                <c:pt idx="234">
                  <c:v>2.68</c:v>
                </c:pt>
                <c:pt idx="235">
                  <c:v>2.7</c:v>
                </c:pt>
                <c:pt idx="236">
                  <c:v>2.7199999999999998</c:v>
                </c:pt>
                <c:pt idx="237">
                  <c:v>2.74</c:v>
                </c:pt>
                <c:pt idx="238">
                  <c:v>2.76</c:v>
                </c:pt>
                <c:pt idx="239">
                  <c:v>2.7800000000000002</c:v>
                </c:pt>
                <c:pt idx="240">
                  <c:v>2.8</c:v>
                </c:pt>
                <c:pt idx="241">
                  <c:v>2.82</c:v>
                </c:pt>
                <c:pt idx="242">
                  <c:v>2.84</c:v>
                </c:pt>
                <c:pt idx="243">
                  <c:v>2.86</c:v>
                </c:pt>
                <c:pt idx="244">
                  <c:v>2.88</c:v>
                </c:pt>
                <c:pt idx="245">
                  <c:v>2.9</c:v>
                </c:pt>
                <c:pt idx="246">
                  <c:v>2.92</c:v>
                </c:pt>
                <c:pt idx="247">
                  <c:v>2.94</c:v>
                </c:pt>
                <c:pt idx="248">
                  <c:v>2.96</c:v>
                </c:pt>
                <c:pt idx="249">
                  <c:v>2.98</c:v>
                </c:pt>
                <c:pt idx="250">
                  <c:v>3</c:v>
                </c:pt>
                <c:pt idx="251">
                  <c:v>3.02</c:v>
                </c:pt>
                <c:pt idx="252">
                  <c:v>3.04</c:v>
                </c:pt>
                <c:pt idx="253">
                  <c:v>3.06</c:v>
                </c:pt>
                <c:pt idx="254">
                  <c:v>3.08</c:v>
                </c:pt>
                <c:pt idx="255">
                  <c:v>3.1</c:v>
                </c:pt>
                <c:pt idx="256">
                  <c:v>3.12</c:v>
                </c:pt>
                <c:pt idx="257">
                  <c:v>3.1399999999999997</c:v>
                </c:pt>
                <c:pt idx="258">
                  <c:v>3.16</c:v>
                </c:pt>
                <c:pt idx="259">
                  <c:v>3.1799999999999997</c:v>
                </c:pt>
                <c:pt idx="260">
                  <c:v>3.2</c:v>
                </c:pt>
                <c:pt idx="261">
                  <c:v>3.2199999999999998</c:v>
                </c:pt>
                <c:pt idx="262">
                  <c:v>3.24</c:v>
                </c:pt>
                <c:pt idx="263">
                  <c:v>3.26</c:v>
                </c:pt>
                <c:pt idx="264">
                  <c:v>3.2800000000000002</c:v>
                </c:pt>
                <c:pt idx="265">
                  <c:v>3.3</c:v>
                </c:pt>
                <c:pt idx="266">
                  <c:v>3.3200000000000003</c:v>
                </c:pt>
                <c:pt idx="267">
                  <c:v>3.34</c:v>
                </c:pt>
                <c:pt idx="268">
                  <c:v>3.3600000000000003</c:v>
                </c:pt>
                <c:pt idx="269">
                  <c:v>3.38</c:v>
                </c:pt>
                <c:pt idx="270">
                  <c:v>3.4</c:v>
                </c:pt>
                <c:pt idx="271">
                  <c:v>3.42</c:v>
                </c:pt>
                <c:pt idx="272">
                  <c:v>3.44</c:v>
                </c:pt>
                <c:pt idx="273">
                  <c:v>3.46</c:v>
                </c:pt>
                <c:pt idx="274">
                  <c:v>3.48</c:v>
                </c:pt>
                <c:pt idx="275">
                  <c:v>3.5</c:v>
                </c:pt>
                <c:pt idx="276">
                  <c:v>3.52</c:v>
                </c:pt>
                <c:pt idx="277">
                  <c:v>3.54</c:v>
                </c:pt>
                <c:pt idx="278">
                  <c:v>3.56</c:v>
                </c:pt>
                <c:pt idx="279">
                  <c:v>3.58</c:v>
                </c:pt>
                <c:pt idx="280">
                  <c:v>3.6</c:v>
                </c:pt>
                <c:pt idx="281">
                  <c:v>3.62</c:v>
                </c:pt>
                <c:pt idx="282">
                  <c:v>3.6399999999999997</c:v>
                </c:pt>
                <c:pt idx="283">
                  <c:v>3.66</c:v>
                </c:pt>
                <c:pt idx="284">
                  <c:v>3.6799999999999997</c:v>
                </c:pt>
                <c:pt idx="285">
                  <c:v>3.7</c:v>
                </c:pt>
                <c:pt idx="286">
                  <c:v>3.7199999999999998</c:v>
                </c:pt>
                <c:pt idx="287">
                  <c:v>3.74</c:v>
                </c:pt>
                <c:pt idx="288">
                  <c:v>3.76</c:v>
                </c:pt>
                <c:pt idx="289">
                  <c:v>3.7800000000000002</c:v>
                </c:pt>
                <c:pt idx="290">
                  <c:v>3.8</c:v>
                </c:pt>
                <c:pt idx="291">
                  <c:v>3.8200000000000003</c:v>
                </c:pt>
                <c:pt idx="292">
                  <c:v>3.84</c:v>
                </c:pt>
                <c:pt idx="293">
                  <c:v>3.8600000000000003</c:v>
                </c:pt>
                <c:pt idx="294">
                  <c:v>3.88</c:v>
                </c:pt>
                <c:pt idx="295">
                  <c:v>3.9</c:v>
                </c:pt>
                <c:pt idx="296">
                  <c:v>3.92</c:v>
                </c:pt>
                <c:pt idx="297">
                  <c:v>3.94</c:v>
                </c:pt>
                <c:pt idx="298">
                  <c:v>3.96</c:v>
                </c:pt>
                <c:pt idx="299">
                  <c:v>3.98</c:v>
                </c:pt>
                <c:pt idx="300">
                  <c:v>4</c:v>
                </c:pt>
              </c:numCache>
            </c:numRef>
          </c:xVal>
          <c:yVal>
            <c:numRef>
              <c:f>'Plotting Data'!$F$3:$F$502</c:f>
              <c:numCache>
                <c:formatCode>General</c:formatCode>
                <c:ptCount val="500"/>
                <c:pt idx="0">
                  <c:v>-1.875</c:v>
                </c:pt>
                <c:pt idx="1">
                  <c:v>-1.840625</c:v>
                </c:pt>
                <c:pt idx="2">
                  <c:v>-1.8062499999999999</c:v>
                </c:pt>
                <c:pt idx="3">
                  <c:v>-1.7718749999999999</c:v>
                </c:pt>
                <c:pt idx="4">
                  <c:v>-1.7375</c:v>
                </c:pt>
                <c:pt idx="5">
                  <c:v>-1.703125</c:v>
                </c:pt>
                <c:pt idx="6">
                  <c:v>-1.66875</c:v>
                </c:pt>
                <c:pt idx="7">
                  <c:v>-1.6343749999999999</c:v>
                </c:pt>
                <c:pt idx="8">
                  <c:v>-1.5999999999999999</c:v>
                </c:pt>
                <c:pt idx="9">
                  <c:v>-1.565625</c:v>
                </c:pt>
                <c:pt idx="10">
                  <c:v>-1.53125</c:v>
                </c:pt>
                <c:pt idx="11">
                  <c:v>-1.496875</c:v>
                </c:pt>
                <c:pt idx="12">
                  <c:v>-1.4624999999999999</c:v>
                </c:pt>
                <c:pt idx="13">
                  <c:v>-1.4281249999999999</c:v>
                </c:pt>
                <c:pt idx="14">
                  <c:v>-1.39375</c:v>
                </c:pt>
                <c:pt idx="15">
                  <c:v>-1.359375</c:v>
                </c:pt>
                <c:pt idx="16">
                  <c:v>-1.325</c:v>
                </c:pt>
                <c:pt idx="17">
                  <c:v>-1.2906249999999999</c:v>
                </c:pt>
                <c:pt idx="18">
                  <c:v>-1.2562499999999999</c:v>
                </c:pt>
                <c:pt idx="19">
                  <c:v>-1.221875</c:v>
                </c:pt>
                <c:pt idx="20">
                  <c:v>-1.1875</c:v>
                </c:pt>
                <c:pt idx="21">
                  <c:v>-1.153125</c:v>
                </c:pt>
                <c:pt idx="22">
                  <c:v>-1.1187499999999999</c:v>
                </c:pt>
                <c:pt idx="23">
                  <c:v>-1.0843749999999999</c:v>
                </c:pt>
                <c:pt idx="24">
                  <c:v>-1.05</c:v>
                </c:pt>
                <c:pt idx="25">
                  <c:v>-1.015625</c:v>
                </c:pt>
                <c:pt idx="26">
                  <c:v>-0.98124999999999996</c:v>
                </c:pt>
                <c:pt idx="27">
                  <c:v>-0.94687500000000002</c:v>
                </c:pt>
                <c:pt idx="28">
                  <c:v>-0.91249999999999998</c:v>
                </c:pt>
                <c:pt idx="29">
                  <c:v>-0.87812500000000016</c:v>
                </c:pt>
                <c:pt idx="30">
                  <c:v>-0.84375000000000022</c:v>
                </c:pt>
                <c:pt idx="31">
                  <c:v>-0.80937500000000018</c:v>
                </c:pt>
                <c:pt idx="32">
                  <c:v>-0.77500000000000013</c:v>
                </c:pt>
                <c:pt idx="33">
                  <c:v>-0.7406250000000002</c:v>
                </c:pt>
                <c:pt idx="34">
                  <c:v>-0.70625000000000016</c:v>
                </c:pt>
                <c:pt idx="35">
                  <c:v>-0.67187500000000033</c:v>
                </c:pt>
                <c:pt idx="36">
                  <c:v>-0.63749999999999996</c:v>
                </c:pt>
                <c:pt idx="37">
                  <c:v>-0.60312500000000013</c:v>
                </c:pt>
                <c:pt idx="38">
                  <c:v>-0.56874999999999998</c:v>
                </c:pt>
                <c:pt idx="39">
                  <c:v>-0.56874999999999998</c:v>
                </c:pt>
                <c:pt idx="40">
                  <c:v>-0.5</c:v>
                </c:pt>
                <c:pt idx="41">
                  <c:v>-0.46562500000000018</c:v>
                </c:pt>
                <c:pt idx="42">
                  <c:v>-0.43125000000000019</c:v>
                </c:pt>
                <c:pt idx="43">
                  <c:v>-0.3968750000000002</c:v>
                </c:pt>
                <c:pt idx="44">
                  <c:v>-0.36250000000000016</c:v>
                </c:pt>
                <c:pt idx="45">
                  <c:v>-0.328125</c:v>
                </c:pt>
                <c:pt idx="46">
                  <c:v>-0.29375000000000001</c:v>
                </c:pt>
                <c:pt idx="47">
                  <c:v>-0.25937500000000019</c:v>
                </c:pt>
                <c:pt idx="48">
                  <c:v>-0.2250000000000002</c:v>
                </c:pt>
                <c:pt idx="49">
                  <c:v>-0.19062500000000018</c:v>
                </c:pt>
                <c:pt idx="50">
                  <c:v>-0.15625000000000019</c:v>
                </c:pt>
                <c:pt idx="51">
                  <c:v>-0.121875</c:v>
                </c:pt>
                <c:pt idx="52">
                  <c:v>-8.7499999999999994E-2</c:v>
                </c:pt>
                <c:pt idx="53">
                  <c:v>-5.3124999999999999E-2</c:v>
                </c:pt>
                <c:pt idx="54">
                  <c:v>-1.8749999999999999E-2</c:v>
                </c:pt>
                <c:pt idx="55">
                  <c:v>1.5625E-2</c:v>
                </c:pt>
                <c:pt idx="56">
                  <c:v>4.9999999999999996E-2</c:v>
                </c:pt>
                <c:pt idx="57">
                  <c:v>8.4374999999999617E-2</c:v>
                </c:pt>
                <c:pt idx="58">
                  <c:v>0.11874999999999961</c:v>
                </c:pt>
                <c:pt idx="59">
                  <c:v>0.15312499999999962</c:v>
                </c:pt>
                <c:pt idx="60">
                  <c:v>0.18749999999999961</c:v>
                </c:pt>
                <c:pt idx="61">
                  <c:v>0.22187499999999999</c:v>
                </c:pt>
                <c:pt idx="62">
                  <c:v>0.25624999999999959</c:v>
                </c:pt>
                <c:pt idx="63">
                  <c:v>0.29062499999999997</c:v>
                </c:pt>
                <c:pt idx="64">
                  <c:v>0.32499999999999962</c:v>
                </c:pt>
                <c:pt idx="65">
                  <c:v>0.359375</c:v>
                </c:pt>
                <c:pt idx="66">
                  <c:v>0.3937499999999996</c:v>
                </c:pt>
                <c:pt idx="67">
                  <c:v>0.42812499999999998</c:v>
                </c:pt>
                <c:pt idx="68">
                  <c:v>0.46249999999999958</c:v>
                </c:pt>
                <c:pt idx="69">
                  <c:v>0.49687499999999962</c:v>
                </c:pt>
                <c:pt idx="70">
                  <c:v>0.53124999999999922</c:v>
                </c:pt>
                <c:pt idx="71">
                  <c:v>0.5656249999999996</c:v>
                </c:pt>
                <c:pt idx="72">
                  <c:v>0.6</c:v>
                </c:pt>
                <c:pt idx="73">
                  <c:v>0.63437499999999958</c:v>
                </c:pt>
                <c:pt idx="74">
                  <c:v>0.66874999999999962</c:v>
                </c:pt>
                <c:pt idx="75">
                  <c:v>0.70312499999999956</c:v>
                </c:pt>
                <c:pt idx="76">
                  <c:v>0.73749999999999993</c:v>
                </c:pt>
                <c:pt idx="77">
                  <c:v>0.77187499999999964</c:v>
                </c:pt>
                <c:pt idx="78">
                  <c:v>0.80624999999999958</c:v>
                </c:pt>
                <c:pt idx="79">
                  <c:v>0.84062499999999996</c:v>
                </c:pt>
                <c:pt idx="80">
                  <c:v>0.875</c:v>
                </c:pt>
                <c:pt idx="81">
                  <c:v>0.90937499999999993</c:v>
                </c:pt>
                <c:pt idx="82">
                  <c:v>0.94374999999999953</c:v>
                </c:pt>
                <c:pt idx="83">
                  <c:v>0.97812499999999925</c:v>
                </c:pt>
                <c:pt idx="84">
                  <c:v>1.0124999999999995</c:v>
                </c:pt>
                <c:pt idx="85">
                  <c:v>1.0468749999999996</c:v>
                </c:pt>
                <c:pt idx="86">
                  <c:v>1.0812499999999996</c:v>
                </c:pt>
                <c:pt idx="87">
                  <c:v>1.1156249999999996</c:v>
                </c:pt>
                <c:pt idx="88">
                  <c:v>1.1499999999999997</c:v>
                </c:pt>
                <c:pt idx="89">
                  <c:v>1.1843749999999995</c:v>
                </c:pt>
                <c:pt idx="90">
                  <c:v>1.21875</c:v>
                </c:pt>
                <c:pt idx="91">
                  <c:v>1.2531249999999996</c:v>
                </c:pt>
                <c:pt idx="92">
                  <c:v>1.2874999999999999</c:v>
                </c:pt>
                <c:pt idx="93">
                  <c:v>1.3218749999999995</c:v>
                </c:pt>
                <c:pt idx="94">
                  <c:v>1.3562499999999995</c:v>
                </c:pt>
                <c:pt idx="95">
                  <c:v>1.3906249999999991</c:v>
                </c:pt>
                <c:pt idx="96">
                  <c:v>1.4249999999999996</c:v>
                </c:pt>
                <c:pt idx="97">
                  <c:v>1.4593749999999996</c:v>
                </c:pt>
                <c:pt idx="98">
                  <c:v>1.4937499999999995</c:v>
                </c:pt>
                <c:pt idx="99">
                  <c:v>1.5281249999999993</c:v>
                </c:pt>
                <c:pt idx="100">
                  <c:v>1.5624999999999996</c:v>
                </c:pt>
                <c:pt idx="101">
                  <c:v>1.546875</c:v>
                </c:pt>
                <c:pt idx="102">
                  <c:v>1.5312500000000002</c:v>
                </c:pt>
                <c:pt idx="103">
                  <c:v>1.5156250000000002</c:v>
                </c:pt>
                <c:pt idx="104">
                  <c:v>1.5000000000000002</c:v>
                </c:pt>
                <c:pt idx="105">
                  <c:v>1.484375</c:v>
                </c:pt>
                <c:pt idx="106">
                  <c:v>1.4687500000000002</c:v>
                </c:pt>
                <c:pt idx="107">
                  <c:v>1.4531250000000002</c:v>
                </c:pt>
                <c:pt idx="108">
                  <c:v>1.4375</c:v>
                </c:pt>
                <c:pt idx="109">
                  <c:v>1.421875</c:v>
                </c:pt>
                <c:pt idx="110">
                  <c:v>1.40625</c:v>
                </c:pt>
                <c:pt idx="111">
                  <c:v>1.3906250000000002</c:v>
                </c:pt>
                <c:pt idx="112">
                  <c:v>1.375</c:v>
                </c:pt>
                <c:pt idx="113">
                  <c:v>1.3593750000000004</c:v>
                </c:pt>
                <c:pt idx="114">
                  <c:v>1.34375</c:v>
                </c:pt>
                <c:pt idx="115">
                  <c:v>1.3281250000000004</c:v>
                </c:pt>
                <c:pt idx="116">
                  <c:v>1.3125000000000004</c:v>
                </c:pt>
                <c:pt idx="117">
                  <c:v>1.2968750000000004</c:v>
                </c:pt>
                <c:pt idx="118">
                  <c:v>1.28125</c:v>
                </c:pt>
                <c:pt idx="119">
                  <c:v>1.2656250000000004</c:v>
                </c:pt>
                <c:pt idx="120">
                  <c:v>1.2500000000000004</c:v>
                </c:pt>
                <c:pt idx="121">
                  <c:v>1.2343750000000004</c:v>
                </c:pt>
                <c:pt idx="122">
                  <c:v>1.21875</c:v>
                </c:pt>
                <c:pt idx="123">
                  <c:v>1.203125</c:v>
                </c:pt>
                <c:pt idx="124">
                  <c:v>1.1875000000000004</c:v>
                </c:pt>
                <c:pt idx="125">
                  <c:v>1.171875</c:v>
                </c:pt>
                <c:pt idx="126">
                  <c:v>1.15625</c:v>
                </c:pt>
                <c:pt idx="127">
                  <c:v>1.140625</c:v>
                </c:pt>
                <c:pt idx="128">
                  <c:v>1.1250000000000004</c:v>
                </c:pt>
                <c:pt idx="129">
                  <c:v>1.109375</c:v>
                </c:pt>
                <c:pt idx="130">
                  <c:v>1.09375</c:v>
                </c:pt>
                <c:pt idx="131">
                  <c:v>1.078125</c:v>
                </c:pt>
                <c:pt idx="132">
                  <c:v>1.0625</c:v>
                </c:pt>
                <c:pt idx="133">
                  <c:v>1.046875</c:v>
                </c:pt>
                <c:pt idx="134">
                  <c:v>1.03125</c:v>
                </c:pt>
                <c:pt idx="135">
                  <c:v>1.0156249999999996</c:v>
                </c:pt>
                <c:pt idx="136">
                  <c:v>1</c:v>
                </c:pt>
                <c:pt idx="137">
                  <c:v>0.984375</c:v>
                </c:pt>
                <c:pt idx="138">
                  <c:v>0.96875000000000033</c:v>
                </c:pt>
                <c:pt idx="139">
                  <c:v>0.953125</c:v>
                </c:pt>
                <c:pt idx="140">
                  <c:v>0.93750000000000033</c:v>
                </c:pt>
                <c:pt idx="141">
                  <c:v>0.92187500000000033</c:v>
                </c:pt>
                <c:pt idx="142">
                  <c:v>0.90625000000000033</c:v>
                </c:pt>
                <c:pt idx="143">
                  <c:v>0.890625</c:v>
                </c:pt>
                <c:pt idx="144">
                  <c:v>0.875</c:v>
                </c:pt>
                <c:pt idx="145">
                  <c:v>0.85937500000000033</c:v>
                </c:pt>
                <c:pt idx="146">
                  <c:v>0.84375</c:v>
                </c:pt>
                <c:pt idx="147">
                  <c:v>0.828125</c:v>
                </c:pt>
                <c:pt idx="148">
                  <c:v>0.81250000000000033</c:v>
                </c:pt>
                <c:pt idx="149">
                  <c:v>0.79687500000000033</c:v>
                </c:pt>
                <c:pt idx="150">
                  <c:v>0.78125</c:v>
                </c:pt>
                <c:pt idx="151">
                  <c:v>0.765625</c:v>
                </c:pt>
                <c:pt idx="152">
                  <c:v>0.75</c:v>
                </c:pt>
                <c:pt idx="153">
                  <c:v>0.734375</c:v>
                </c:pt>
                <c:pt idx="154">
                  <c:v>0.71875</c:v>
                </c:pt>
                <c:pt idx="155">
                  <c:v>0.703125</c:v>
                </c:pt>
                <c:pt idx="156">
                  <c:v>0.68750000000000033</c:v>
                </c:pt>
                <c:pt idx="157">
                  <c:v>0.67187500000000033</c:v>
                </c:pt>
                <c:pt idx="158">
                  <c:v>0.65625</c:v>
                </c:pt>
                <c:pt idx="159">
                  <c:v>0.64062500000000033</c:v>
                </c:pt>
                <c:pt idx="160">
                  <c:v>0.62499999999999956</c:v>
                </c:pt>
                <c:pt idx="161">
                  <c:v>0.609375</c:v>
                </c:pt>
                <c:pt idx="162">
                  <c:v>0.59375</c:v>
                </c:pt>
                <c:pt idx="163">
                  <c:v>0.57812500000000033</c:v>
                </c:pt>
                <c:pt idx="164">
                  <c:v>0.5625</c:v>
                </c:pt>
                <c:pt idx="165">
                  <c:v>0.54687500000000033</c:v>
                </c:pt>
                <c:pt idx="166">
                  <c:v>0.53125</c:v>
                </c:pt>
                <c:pt idx="167">
                  <c:v>0.515625</c:v>
                </c:pt>
                <c:pt idx="168">
                  <c:v>0.49999999999999961</c:v>
                </c:pt>
                <c:pt idx="169">
                  <c:v>0.484375</c:v>
                </c:pt>
                <c:pt idx="170">
                  <c:v>0.46875000000000039</c:v>
                </c:pt>
                <c:pt idx="171">
                  <c:v>0.453125</c:v>
                </c:pt>
                <c:pt idx="172">
                  <c:v>0.4375</c:v>
                </c:pt>
                <c:pt idx="173">
                  <c:v>0.42187500000000039</c:v>
                </c:pt>
                <c:pt idx="174">
                  <c:v>0.40625</c:v>
                </c:pt>
                <c:pt idx="175">
                  <c:v>0.390625</c:v>
                </c:pt>
                <c:pt idx="176">
                  <c:v>0.375</c:v>
                </c:pt>
                <c:pt idx="177">
                  <c:v>0.35937499999999961</c:v>
                </c:pt>
                <c:pt idx="178">
                  <c:v>0.34375</c:v>
                </c:pt>
                <c:pt idx="179">
                  <c:v>0.328125</c:v>
                </c:pt>
                <c:pt idx="180">
                  <c:v>0.3125</c:v>
                </c:pt>
                <c:pt idx="181">
                  <c:v>0.296875</c:v>
                </c:pt>
                <c:pt idx="182">
                  <c:v>0.28125000000000039</c:v>
                </c:pt>
                <c:pt idx="183">
                  <c:v>0.265625</c:v>
                </c:pt>
                <c:pt idx="184">
                  <c:v>0.25000000000000039</c:v>
                </c:pt>
                <c:pt idx="185">
                  <c:v>0.23437499999999961</c:v>
                </c:pt>
                <c:pt idx="186">
                  <c:v>0.21875</c:v>
                </c:pt>
                <c:pt idx="187">
                  <c:v>0.203125</c:v>
                </c:pt>
                <c:pt idx="188">
                  <c:v>0.1875</c:v>
                </c:pt>
                <c:pt idx="189">
                  <c:v>0.171875</c:v>
                </c:pt>
                <c:pt idx="190">
                  <c:v>0.15625000000000039</c:v>
                </c:pt>
                <c:pt idx="191">
                  <c:v>0.14062499999999961</c:v>
                </c:pt>
                <c:pt idx="192">
                  <c:v>0.125</c:v>
                </c:pt>
                <c:pt idx="193">
                  <c:v>0.10937499999999961</c:v>
                </c:pt>
                <c:pt idx="194">
                  <c:v>9.375E-2</c:v>
                </c:pt>
                <c:pt idx="195">
                  <c:v>7.8125000000000389E-2</c:v>
                </c:pt>
                <c:pt idx="196">
                  <c:v>6.25E-2</c:v>
                </c:pt>
                <c:pt idx="197">
                  <c:v>4.6875E-2</c:v>
                </c:pt>
                <c:pt idx="198">
                  <c:v>3.1250000000000389E-2</c:v>
                </c:pt>
                <c:pt idx="199">
                  <c:v>1.5625E-2</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numCache>
            </c:numRef>
          </c:yVal>
          <c:smooth val="1"/>
          <c:extLst>
            <c:ext xmlns:c16="http://schemas.microsoft.com/office/drawing/2014/chart" uri="{C3380CC4-5D6E-409C-BE32-E72D297353CC}">
              <c16:uniqueId val="{00000001-E637-41E5-8139-BF89E3B442DC}"/>
            </c:ext>
          </c:extLst>
        </c:ser>
        <c:dLbls>
          <c:showLegendKey val="0"/>
          <c:showVal val="0"/>
          <c:showCatName val="0"/>
          <c:showSerName val="0"/>
          <c:showPercent val="0"/>
          <c:showBubbleSize val="0"/>
        </c:dLbls>
        <c:axId val="50876800"/>
        <c:axId val="50878336"/>
      </c:scatterChart>
      <c:valAx>
        <c:axId val="50876800"/>
        <c:scaling>
          <c:orientation val="minMax"/>
        </c:scaling>
        <c:delete val="0"/>
        <c:axPos val="b"/>
        <c:title>
          <c:tx>
            <c:strRef>
              <c:f>'Plotting Data'!$B$2</c:f>
              <c:strCache>
                <c:ptCount val="1"/>
                <c:pt idx="0">
                  <c:v>Position</c:v>
                </c:pt>
              </c:strCache>
            </c:strRef>
          </c:tx>
          <c:layout/>
          <c:overlay val="0"/>
          <c:spPr>
            <a:noFill/>
            <a:ln>
              <a:noFill/>
            </a:ln>
            <a:effectLst/>
          </c:spPr>
          <c:txPr>
            <a:bodyPr rot="0" spcFirstLastPara="1" vertOverflow="ellipsis" vert="horz" wrap="square" anchor="ctr" anchorCtr="1"/>
            <a:lstStyle/>
            <a:p>
              <a:pPr>
                <a:defRPr sz="950" b="0" i="0" u="none" strike="noStrike" kern="1200" baseline="0">
                  <a:solidFill>
                    <a:schemeClr val="tx1">
                      <a:lumMod val="65000"/>
                      <a:lumOff val="35000"/>
                    </a:schemeClr>
                  </a:solidFill>
                  <a:latin typeface="+mn-lt"/>
                  <a:ea typeface="+mn-ea"/>
                  <a:cs typeface="+mn-cs"/>
                </a:defRPr>
              </a:pPr>
              <a:endParaRPr lang="en-US"/>
            </a:p>
          </c:txPr>
        </c:title>
        <c:numFmt formatCode="0.000_);[Red]\(0.000\)" sourceLinked="1"/>
        <c:majorTickMark val="none"/>
        <c:minorTickMark val="none"/>
        <c:tickLblPos val="nextTo"/>
        <c:spPr>
          <a:noFill/>
          <a:ln w="1587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78336"/>
        <c:crosses val="autoZero"/>
        <c:crossBetween val="midCat"/>
      </c:valAx>
      <c:valAx>
        <c:axId val="50878336"/>
        <c:scaling>
          <c:orientation val="minMax"/>
        </c:scaling>
        <c:delete val="0"/>
        <c:axPos val="l"/>
        <c:majorGridlines>
          <c:spPr>
            <a:ln w="9525" cap="flat" cmpd="sng" algn="ctr">
              <a:solidFill>
                <a:schemeClr val="tx1">
                  <a:lumMod val="15000"/>
                  <a:lumOff val="85000"/>
                </a:schemeClr>
              </a:solidFill>
              <a:round/>
            </a:ln>
            <a:effectLst/>
          </c:spPr>
        </c:majorGridlines>
        <c:title>
          <c:tx>
            <c:strRef>
              <c:f>Properties!$E$11</c:f>
              <c:strCache>
                <c:ptCount val="1"/>
                <c:pt idx="0">
                  <c:v>Moment</c:v>
                </c:pt>
              </c:strCache>
            </c:strRef>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76800"/>
        <c:crosses val="autoZero"/>
        <c:crossBetween val="midCat"/>
      </c:valAx>
      <c:spPr>
        <a:noFill/>
        <a:ln>
          <a:noFill/>
        </a:ln>
        <a:effectLst/>
      </c:spPr>
    </c:plotArea>
    <c:plotVisOnly val="1"/>
    <c:dispBlanksAs val="gap"/>
    <c:showDLblsOverMax val="0"/>
  </c:chart>
  <c:spPr>
    <a:solidFill>
      <a:schemeClr val="bg1"/>
    </a:solidFill>
    <a:ln w="9525" cap="flat" cmpd="sng" algn="ctr">
      <a:solidFill>
        <a:sysClr val="window" lastClr="FFFFFF"/>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constants!$E$12" lockText="1" noThreeD="1"/>
</file>

<file path=xl/ctrlProps/ctrlProp10.xml><?xml version="1.0" encoding="utf-8"?>
<formControlPr xmlns="http://schemas.microsoft.com/office/spreadsheetml/2009/9/main" objectType="Radio" checked="Checked" firstButton="1" fmlaLink="constants!$O$3"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checked="Checked" firstButton="1" fmlaLink="constants!$O$4"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checked="Checked" firstButton="1" fmlaLink="constants!$O$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checked="Checked" firstButton="1" fmlaLink="constants!$O$6"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checked="Checked" firstButton="1" fmlaLink="constants!$O$7"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Radio" checked="Checked" firstButton="1" fmlaLink="constants!$H$10" lockText="1" noThreeD="1"/>
</file>

<file path=xl/ctrlProps/ctrlProp26.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checked="Checked" firstButton="1" fmlaLink="constants!$O$2"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chart" Target="../charts/chart3.xml"/><Relationship Id="rId7" Type="http://schemas.openxmlformats.org/officeDocument/2006/relationships/image" Target="../media/image3.em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11" Type="http://schemas.openxmlformats.org/officeDocument/2006/relationships/image" Target="../media/image7.png"/><Relationship Id="rId5" Type="http://schemas.openxmlformats.org/officeDocument/2006/relationships/image" Target="../media/image1.emf"/><Relationship Id="rId10" Type="http://schemas.openxmlformats.org/officeDocument/2006/relationships/image" Target="../media/image6.emf"/><Relationship Id="rId4" Type="http://schemas.openxmlformats.org/officeDocument/2006/relationships/chart" Target="../charts/chart4.xml"/><Relationship Id="rId9" Type="http://schemas.openxmlformats.org/officeDocument/2006/relationships/image" Target="../media/image5.emf"/></Relationships>
</file>

<file path=xl/drawings/_rels/drawing2.xml.rels><?xml version="1.0" encoding="UTF-8" standalone="yes"?>
<Relationships xmlns="http://schemas.openxmlformats.org/package/2006/relationships"><Relationship Id="rId8" Type="http://schemas.openxmlformats.org/officeDocument/2006/relationships/image" Target="../media/image21.png"/><Relationship Id="rId3" Type="http://schemas.openxmlformats.org/officeDocument/2006/relationships/image" Target="../media/image16.png"/><Relationship Id="rId7" Type="http://schemas.openxmlformats.org/officeDocument/2006/relationships/image" Target="../media/image20.png"/><Relationship Id="rId12" Type="http://schemas.openxmlformats.org/officeDocument/2006/relationships/image" Target="../media/image25.png"/><Relationship Id="rId2" Type="http://schemas.openxmlformats.org/officeDocument/2006/relationships/image" Target="../media/image15.png"/><Relationship Id="rId1" Type="http://schemas.openxmlformats.org/officeDocument/2006/relationships/image" Target="../media/image14.png"/><Relationship Id="rId6" Type="http://schemas.openxmlformats.org/officeDocument/2006/relationships/image" Target="../media/image19.png"/><Relationship Id="rId11" Type="http://schemas.openxmlformats.org/officeDocument/2006/relationships/image" Target="../media/image24.png"/><Relationship Id="rId5" Type="http://schemas.openxmlformats.org/officeDocument/2006/relationships/image" Target="../media/image18.png"/><Relationship Id="rId10" Type="http://schemas.openxmlformats.org/officeDocument/2006/relationships/image" Target="../media/image23.png"/><Relationship Id="rId4" Type="http://schemas.openxmlformats.org/officeDocument/2006/relationships/image" Target="../media/image17.png"/><Relationship Id="rId9" Type="http://schemas.openxmlformats.org/officeDocument/2006/relationships/image" Target="../media/image22.png"/></Relationships>
</file>

<file path=xl/drawings/_rels/drawing5.xml.rels><?xml version="1.0" encoding="UTF-8" standalone="yes"?>
<Relationships xmlns="http://schemas.openxmlformats.org/package/2006/relationships"><Relationship Id="rId3" Type="http://schemas.openxmlformats.org/officeDocument/2006/relationships/image" Target="../media/image28.png"/><Relationship Id="rId7" Type="http://schemas.openxmlformats.org/officeDocument/2006/relationships/image" Target="../media/image32.png"/><Relationship Id="rId2" Type="http://schemas.openxmlformats.org/officeDocument/2006/relationships/image" Target="../media/image27.png"/><Relationship Id="rId1" Type="http://schemas.openxmlformats.org/officeDocument/2006/relationships/image" Target="../media/image26.png"/><Relationship Id="rId6" Type="http://schemas.openxmlformats.org/officeDocument/2006/relationships/image" Target="../media/image31.png"/><Relationship Id="rId5" Type="http://schemas.openxmlformats.org/officeDocument/2006/relationships/image" Target="../media/image30.png"/><Relationship Id="rId4" Type="http://schemas.openxmlformats.org/officeDocument/2006/relationships/image" Target="../media/image29.png"/></Relationships>
</file>

<file path=xl/drawings/_rels/drawing6.xml.rels><?xml version="1.0" encoding="UTF-8" standalone="yes"?>
<Relationships xmlns="http://schemas.openxmlformats.org/package/2006/relationships"><Relationship Id="rId8" Type="http://schemas.openxmlformats.org/officeDocument/2006/relationships/image" Target="../media/image38.png"/><Relationship Id="rId3" Type="http://schemas.openxmlformats.org/officeDocument/2006/relationships/image" Target="../media/image33.png"/><Relationship Id="rId7" Type="http://schemas.openxmlformats.org/officeDocument/2006/relationships/image" Target="../media/image37.png"/><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36.png"/><Relationship Id="rId5" Type="http://schemas.openxmlformats.org/officeDocument/2006/relationships/image" Target="../media/image35.png"/><Relationship Id="rId4" Type="http://schemas.openxmlformats.org/officeDocument/2006/relationships/image" Target="../media/image34.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1" Type="http://schemas.openxmlformats.org/officeDocument/2006/relationships/image" Target="../media/image8.emf"/><Relationship Id="rId6" Type="http://schemas.openxmlformats.org/officeDocument/2006/relationships/image" Target="../media/image13.emf"/><Relationship Id="rId5" Type="http://schemas.openxmlformats.org/officeDocument/2006/relationships/image" Target="../media/image12.emf"/><Relationship Id="rId4"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xdr:from>
      <xdr:col>1</xdr:col>
      <xdr:colOff>54428</xdr:colOff>
      <xdr:row>9</xdr:row>
      <xdr:rowOff>63952</xdr:rowOff>
    </xdr:from>
    <xdr:to>
      <xdr:col>9</xdr:col>
      <xdr:colOff>146528</xdr:colOff>
      <xdr:row>9</xdr:row>
      <xdr:rowOff>2835952</xdr:rowOff>
    </xdr:to>
    <xdr:graphicFrame macro="">
      <xdr:nvGraphicFramePr>
        <xdr:cNvPr id="2" name="Deflectio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63500</xdr:colOff>
      <xdr:row>10</xdr:row>
      <xdr:rowOff>46869</xdr:rowOff>
    </xdr:from>
    <xdr:to>
      <xdr:col>9</xdr:col>
      <xdr:colOff>155956</xdr:colOff>
      <xdr:row>10</xdr:row>
      <xdr:rowOff>2817501</xdr:rowOff>
    </xdr:to>
    <xdr:graphicFrame macro="">
      <xdr:nvGraphicFramePr>
        <xdr:cNvPr id="30" name="Slope"/>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13606</xdr:colOff>
      <xdr:row>12</xdr:row>
      <xdr:rowOff>68035</xdr:rowOff>
    </xdr:from>
    <xdr:to>
      <xdr:col>9</xdr:col>
      <xdr:colOff>104406</xdr:colOff>
      <xdr:row>12</xdr:row>
      <xdr:rowOff>2840035</xdr:rowOff>
    </xdr:to>
    <xdr:graphicFrame macro="">
      <xdr:nvGraphicFramePr>
        <xdr:cNvPr id="34" name="She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60070</xdr:colOff>
      <xdr:row>13</xdr:row>
      <xdr:rowOff>95250</xdr:rowOff>
    </xdr:from>
    <xdr:to>
      <xdr:col>9</xdr:col>
      <xdr:colOff>150870</xdr:colOff>
      <xdr:row>13</xdr:row>
      <xdr:rowOff>2867250</xdr:rowOff>
    </xdr:to>
    <xdr:graphicFrame macro="">
      <xdr:nvGraphicFramePr>
        <xdr:cNvPr id="36" name="Load"/>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116411</xdr:colOff>
          <xdr:row>11</xdr:row>
          <xdr:rowOff>15875</xdr:rowOff>
        </xdr:from>
        <xdr:to>
          <xdr:col>9</xdr:col>
          <xdr:colOff>422268</xdr:colOff>
          <xdr:row>12</xdr:row>
          <xdr:rowOff>1056</xdr:rowOff>
        </xdr:to>
        <xdr:pic>
          <xdr:nvPicPr>
            <xdr:cNvPr id="10" name="C/M"/>
            <xdr:cNvPicPr>
              <a:picLocks/>
              <a:extLst>
                <a:ext uri="{84589F7E-364E-4C9E-8A38-B11213B215E9}">
                  <a14:cameraTool cellRange="getchart" spid="_x0000_s15900"/>
                </a:ext>
              </a:extLst>
            </xdr:cNvPicPr>
          </xdr:nvPicPr>
          <xdr:blipFill>
            <a:blip xmlns:r="http://schemas.openxmlformats.org/officeDocument/2006/relationships" r:embed="rId5"/>
            <a:stretch>
              <a:fillRect/>
            </a:stretch>
          </xdr:blipFill>
          <xdr:spPr>
            <a:xfrm>
              <a:off x="275161" y="8736542"/>
              <a:ext cx="6147857" cy="2895599"/>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460377</xdr:colOff>
          <xdr:row>1</xdr:row>
          <xdr:rowOff>206375</xdr:rowOff>
        </xdr:from>
        <xdr:to>
          <xdr:col>2</xdr:col>
          <xdr:colOff>299278</xdr:colOff>
          <xdr:row>2</xdr:row>
          <xdr:rowOff>143209</xdr:rowOff>
        </xdr:to>
        <xdr:pic>
          <xdr:nvPicPr>
            <xdr:cNvPr id="3" name="图片 2"/>
            <xdr:cNvPicPr>
              <a:picLocks noChangeAspect="1"/>
              <a:extLst>
                <a:ext uri="{84589F7E-364E-4C9E-8A38-B11213B215E9}">
                  <a14:cameraTool cellRange="PointA" spid="_x0000_s15901"/>
                </a:ext>
              </a:extLst>
            </xdr:cNvPicPr>
          </xdr:nvPicPr>
          <xdr:blipFill>
            <a:blip xmlns:r="http://schemas.openxmlformats.org/officeDocument/2006/relationships" r:embed="rId6"/>
            <a:stretch>
              <a:fillRect/>
            </a:stretch>
          </xdr:blipFill>
          <xdr:spPr>
            <a:xfrm>
              <a:off x="619127" y="449792"/>
              <a:ext cx="569151" cy="720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465669</xdr:colOff>
          <xdr:row>1</xdr:row>
          <xdr:rowOff>222249</xdr:rowOff>
        </xdr:from>
        <xdr:to>
          <xdr:col>8</xdr:col>
          <xdr:colOff>313197</xdr:colOff>
          <xdr:row>2</xdr:row>
          <xdr:rowOff>159083</xdr:rowOff>
        </xdr:to>
        <xdr:pic>
          <xdr:nvPicPr>
            <xdr:cNvPr id="4" name="图片 3"/>
            <xdr:cNvPicPr>
              <a:picLocks noChangeAspect="1"/>
              <a:extLst>
                <a:ext uri="{84589F7E-364E-4C9E-8A38-B11213B215E9}">
                  <a14:cameraTool cellRange="PointD" spid="_x0000_s15902"/>
                </a:ext>
              </a:extLst>
            </xdr:cNvPicPr>
          </xdr:nvPicPr>
          <xdr:blipFill>
            <a:blip xmlns:r="http://schemas.openxmlformats.org/officeDocument/2006/relationships" r:embed="rId7"/>
            <a:stretch>
              <a:fillRect/>
            </a:stretch>
          </xdr:blipFill>
          <xdr:spPr>
            <a:xfrm>
              <a:off x="5005919" y="465666"/>
              <a:ext cx="577778" cy="720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455084</xdr:colOff>
          <xdr:row>1</xdr:row>
          <xdr:rowOff>211666</xdr:rowOff>
        </xdr:from>
        <xdr:to>
          <xdr:col>4</xdr:col>
          <xdr:colOff>302612</xdr:colOff>
          <xdr:row>2</xdr:row>
          <xdr:rowOff>148500</xdr:rowOff>
        </xdr:to>
        <xdr:pic>
          <xdr:nvPicPr>
            <xdr:cNvPr id="5" name="图片 4"/>
            <xdr:cNvPicPr>
              <a:picLocks noChangeAspect="1"/>
              <a:extLst>
                <a:ext uri="{84589F7E-364E-4C9E-8A38-B11213B215E9}">
                  <a14:cameraTool cellRange="PointB" spid="_x0000_s15903"/>
                </a:ext>
              </a:extLst>
            </xdr:cNvPicPr>
          </xdr:nvPicPr>
          <xdr:blipFill>
            <a:blip xmlns:r="http://schemas.openxmlformats.org/officeDocument/2006/relationships" r:embed="rId8"/>
            <a:stretch>
              <a:fillRect/>
            </a:stretch>
          </xdr:blipFill>
          <xdr:spPr>
            <a:xfrm>
              <a:off x="2074334" y="455083"/>
              <a:ext cx="577778" cy="720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455084</xdr:colOff>
          <xdr:row>1</xdr:row>
          <xdr:rowOff>211666</xdr:rowOff>
        </xdr:from>
        <xdr:to>
          <xdr:col>6</xdr:col>
          <xdr:colOff>302612</xdr:colOff>
          <xdr:row>2</xdr:row>
          <xdr:rowOff>148500</xdr:rowOff>
        </xdr:to>
        <xdr:pic>
          <xdr:nvPicPr>
            <xdr:cNvPr id="6" name="图片 5"/>
            <xdr:cNvPicPr>
              <a:picLocks noChangeAspect="1"/>
              <a:extLst>
                <a:ext uri="{84589F7E-364E-4C9E-8A38-B11213B215E9}">
                  <a14:cameraTool cellRange="PointC" spid="_x0000_s15904"/>
                </a:ext>
              </a:extLst>
            </xdr:cNvPicPr>
          </xdr:nvPicPr>
          <xdr:blipFill>
            <a:blip xmlns:r="http://schemas.openxmlformats.org/officeDocument/2006/relationships" r:embed="rId7"/>
            <a:stretch>
              <a:fillRect/>
            </a:stretch>
          </xdr:blipFill>
          <xdr:spPr>
            <a:xfrm>
              <a:off x="3534834" y="455083"/>
              <a:ext cx="577778" cy="720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444592</xdr:colOff>
          <xdr:row>1</xdr:row>
          <xdr:rowOff>236802</xdr:rowOff>
        </xdr:from>
        <xdr:to>
          <xdr:col>2</xdr:col>
          <xdr:colOff>402259</xdr:colOff>
          <xdr:row>2</xdr:row>
          <xdr:rowOff>310886</xdr:rowOff>
        </xdr:to>
        <xdr:pic>
          <xdr:nvPicPr>
            <xdr:cNvPr id="8" name="图片 7"/>
            <xdr:cNvPicPr>
              <a:picLocks noChangeAspect="1"/>
              <a:extLst>
                <a:ext uri="{84589F7E-364E-4C9E-8A38-B11213B215E9}">
                  <a14:cameraTool cellRange="PointA_b" spid="_x0000_s15905"/>
                </a:ext>
              </a:extLst>
            </xdr:cNvPicPr>
          </xdr:nvPicPr>
          <xdr:blipFill>
            <a:blip xmlns:r="http://schemas.openxmlformats.org/officeDocument/2006/relationships" r:embed="rId7"/>
            <a:stretch>
              <a:fillRect/>
            </a:stretch>
          </xdr:blipFill>
          <xdr:spPr>
            <a:xfrm>
              <a:off x="605532" y="476569"/>
              <a:ext cx="690106" cy="855791"/>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420637</xdr:colOff>
          <xdr:row>1</xdr:row>
          <xdr:rowOff>230141</xdr:rowOff>
        </xdr:from>
        <xdr:to>
          <xdr:col>4</xdr:col>
          <xdr:colOff>378304</xdr:colOff>
          <xdr:row>2</xdr:row>
          <xdr:rowOff>304225</xdr:rowOff>
        </xdr:to>
        <xdr:pic>
          <xdr:nvPicPr>
            <xdr:cNvPr id="9" name="图片 8"/>
            <xdr:cNvPicPr>
              <a:picLocks noChangeAspect="1"/>
              <a:extLst>
                <a:ext uri="{84589F7E-364E-4C9E-8A38-B11213B215E9}">
                  <a14:cameraTool cellRange="PointB_b" spid="_x0000_s15906"/>
                </a:ext>
              </a:extLst>
            </xdr:cNvPicPr>
          </xdr:nvPicPr>
          <xdr:blipFill>
            <a:blip xmlns:r="http://schemas.openxmlformats.org/officeDocument/2006/relationships" r:embed="rId7"/>
            <a:stretch>
              <a:fillRect/>
            </a:stretch>
          </xdr:blipFill>
          <xdr:spPr>
            <a:xfrm>
              <a:off x="2048170" y="470337"/>
              <a:ext cx="690677" cy="85679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439841</xdr:colOff>
          <xdr:row>1</xdr:row>
          <xdr:rowOff>231338</xdr:rowOff>
        </xdr:from>
        <xdr:to>
          <xdr:col>6</xdr:col>
          <xdr:colOff>397508</xdr:colOff>
          <xdr:row>2</xdr:row>
          <xdr:rowOff>305422</xdr:rowOff>
        </xdr:to>
        <xdr:pic>
          <xdr:nvPicPr>
            <xdr:cNvPr id="12" name="图片 11"/>
            <xdr:cNvPicPr>
              <a:picLocks noChangeAspect="1"/>
              <a:extLst>
                <a:ext uri="{84589F7E-364E-4C9E-8A38-B11213B215E9}">
                  <a14:cameraTool cellRange="PointC_b" spid="_x0000_s15907"/>
                </a:ext>
              </a:extLst>
            </xdr:cNvPicPr>
          </xdr:nvPicPr>
          <xdr:blipFill>
            <a:blip xmlns:r="http://schemas.openxmlformats.org/officeDocument/2006/relationships" r:embed="rId9"/>
            <a:stretch>
              <a:fillRect/>
            </a:stretch>
          </xdr:blipFill>
          <xdr:spPr>
            <a:xfrm>
              <a:off x="3533395" y="471534"/>
              <a:ext cx="690678" cy="85679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445823</xdr:colOff>
          <xdr:row>1</xdr:row>
          <xdr:rowOff>236801</xdr:rowOff>
        </xdr:from>
        <xdr:to>
          <xdr:col>8</xdr:col>
          <xdr:colOff>403490</xdr:colOff>
          <xdr:row>2</xdr:row>
          <xdr:rowOff>310885</xdr:rowOff>
        </xdr:to>
        <xdr:pic>
          <xdr:nvPicPr>
            <xdr:cNvPr id="13" name="图片 12"/>
            <xdr:cNvPicPr>
              <a:picLocks noChangeAspect="1"/>
              <a:extLst>
                <a:ext uri="{84589F7E-364E-4C9E-8A38-B11213B215E9}">
                  <a14:cameraTool cellRange="PointD_b" spid="_x0000_s15908"/>
                </a:ext>
              </a:extLst>
            </xdr:cNvPicPr>
          </xdr:nvPicPr>
          <xdr:blipFill>
            <a:blip xmlns:r="http://schemas.openxmlformats.org/officeDocument/2006/relationships" r:embed="rId10"/>
            <a:stretch>
              <a:fillRect/>
            </a:stretch>
          </xdr:blipFill>
          <xdr:spPr>
            <a:xfrm>
              <a:off x="5001401" y="476568"/>
              <a:ext cx="690106" cy="855791"/>
            </a:xfrm>
            <a:prstGeom prst="rect">
              <a:avLst/>
            </a:prstGeom>
          </xdr:spPr>
        </xdr:pic>
        <xdr:clientData/>
      </xdr:twoCellAnchor>
    </mc:Choice>
    <mc:Fallback/>
  </mc:AlternateContent>
  <xdr:twoCellAnchor editAs="oneCell">
    <xdr:from>
      <xdr:col>0</xdr:col>
      <xdr:colOff>112496</xdr:colOff>
      <xdr:row>1</xdr:row>
      <xdr:rowOff>132570</xdr:rowOff>
    </xdr:from>
    <xdr:to>
      <xdr:col>9</xdr:col>
      <xdr:colOff>33365</xdr:colOff>
      <xdr:row>2</xdr:row>
      <xdr:rowOff>901606</xdr:rowOff>
    </xdr:to>
    <xdr:pic>
      <xdr:nvPicPr>
        <xdr:cNvPr id="14" name="Picture 13"/>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12496" y="374358"/>
          <a:ext cx="5943600" cy="1553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2</xdr:row>
          <xdr:rowOff>19050</xdr:rowOff>
        </xdr:from>
        <xdr:to>
          <xdr:col>1</xdr:col>
          <xdr:colOff>1171575</xdr:colOff>
          <xdr:row>7</xdr:row>
          <xdr:rowOff>28575</xdr:rowOff>
        </xdr:to>
        <xdr:grpSp>
          <xdr:nvGrpSpPr>
            <xdr:cNvPr id="2" name="组合 1"/>
            <xdr:cNvGrpSpPr/>
          </xdr:nvGrpSpPr>
          <xdr:grpSpPr>
            <a:xfrm>
              <a:off x="154598" y="495300"/>
              <a:ext cx="971550" cy="969352"/>
              <a:chOff x="66675" y="495312"/>
              <a:chExt cx="1104900" cy="971555"/>
            </a:xfrm>
          </xdr:grpSpPr>
          <xdr:sp macro="" textlink="">
            <xdr:nvSpPr>
              <xdr:cNvPr id="7191" name="Option Button 23" hidden="1">
                <a:extLst>
                  <a:ext uri="{63B3BB69-23CF-44E3-9099-C40C66FF867C}">
                    <a14:compatExt spid="_x0000_s7191"/>
                  </a:ext>
                </a:extLst>
              </xdr:cNvPr>
              <xdr:cNvSpPr/>
            </xdr:nvSpPr>
            <xdr:spPr bwMode="auto">
              <a:xfrm>
                <a:off x="66675" y="495312"/>
                <a:ext cx="11049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Red Dot</a:t>
                </a:r>
              </a:p>
            </xdr:txBody>
          </xdr:sp>
          <xdr:sp macro="" textlink="">
            <xdr:nvSpPr>
              <xdr:cNvPr id="7192" name="Option Button 24" descr="White Dot" hidden="1">
                <a:extLst>
                  <a:ext uri="{63B3BB69-23CF-44E3-9099-C40C66FF867C}">
                    <a14:compatExt spid="_x0000_s7192"/>
                  </a:ext>
                </a:extLst>
              </xdr:cNvPr>
              <xdr:cNvSpPr/>
            </xdr:nvSpPr>
            <xdr:spPr bwMode="auto">
              <a:xfrm>
                <a:off x="66675" y="685800"/>
                <a:ext cx="11049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White Dot</a:t>
                </a:r>
              </a:p>
            </xdr:txBody>
          </xdr:sp>
          <xdr:sp macro="" textlink="">
            <xdr:nvSpPr>
              <xdr:cNvPr id="7193" name="Option Button 25" hidden="1">
                <a:extLst>
                  <a:ext uri="{63B3BB69-23CF-44E3-9099-C40C66FF867C}">
                    <a14:compatExt spid="_x0000_s7193"/>
                  </a:ext>
                </a:extLst>
              </xdr:cNvPr>
              <xdr:cNvSpPr/>
            </xdr:nvSpPr>
            <xdr:spPr bwMode="auto">
              <a:xfrm>
                <a:off x="66675" y="876300"/>
                <a:ext cx="11049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Blue Dot</a:t>
                </a:r>
              </a:p>
            </xdr:txBody>
          </xdr:sp>
          <xdr:sp macro="" textlink="">
            <xdr:nvSpPr>
              <xdr:cNvPr id="7195" name="Option Button 27" hidden="1">
                <a:extLst>
                  <a:ext uri="{63B3BB69-23CF-44E3-9099-C40C66FF867C}">
                    <a14:compatExt spid="_x0000_s7195"/>
                  </a:ext>
                </a:extLst>
              </xdr:cNvPr>
              <xdr:cNvSpPr/>
            </xdr:nvSpPr>
            <xdr:spPr bwMode="auto">
              <a:xfrm>
                <a:off x="66675" y="1066800"/>
                <a:ext cx="11049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User 1</a:t>
                </a:r>
              </a:p>
            </xdr:txBody>
          </xdr:sp>
          <xdr:sp macro="" textlink="">
            <xdr:nvSpPr>
              <xdr:cNvPr id="7196" name="Option Button 28" hidden="1">
                <a:extLst>
                  <a:ext uri="{63B3BB69-23CF-44E3-9099-C40C66FF867C}">
                    <a14:compatExt spid="_x0000_s7196"/>
                  </a:ext>
                </a:extLst>
              </xdr:cNvPr>
              <xdr:cNvSpPr/>
            </xdr:nvSpPr>
            <xdr:spPr bwMode="auto">
              <a:xfrm>
                <a:off x="66675" y="1257316"/>
                <a:ext cx="11049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User 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10</xdr:row>
          <xdr:rowOff>38100</xdr:rowOff>
        </xdr:from>
        <xdr:to>
          <xdr:col>1</xdr:col>
          <xdr:colOff>1181100</xdr:colOff>
          <xdr:row>13</xdr:row>
          <xdr:rowOff>0</xdr:rowOff>
        </xdr:to>
        <xdr:sp macro="" textlink="">
          <xdr:nvSpPr>
            <xdr:cNvPr id="7202" name="Group Box 34" hidden="1">
              <a:extLst>
                <a:ext uri="{63B3BB69-23CF-44E3-9099-C40C66FF867C}">
                  <a14:compatExt spid="_x0000_s720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10</xdr:row>
          <xdr:rowOff>228600</xdr:rowOff>
        </xdr:from>
        <xdr:to>
          <xdr:col>1</xdr:col>
          <xdr:colOff>914400</xdr:colOff>
          <xdr:row>11</xdr:row>
          <xdr:rowOff>190500</xdr:rowOff>
        </xdr:to>
        <xdr:sp macro="" textlink="">
          <xdr:nvSpPr>
            <xdr:cNvPr id="7206" name="Option Button 38" hidden="1">
              <a:extLst>
                <a:ext uri="{63B3BB69-23CF-44E3-9099-C40C66FF867C}">
                  <a14:compatExt spid="_x0000_s7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12</xdr:row>
          <xdr:rowOff>28575</xdr:rowOff>
        </xdr:from>
        <xdr:to>
          <xdr:col>1</xdr:col>
          <xdr:colOff>933450</xdr:colOff>
          <xdr:row>12</xdr:row>
          <xdr:rowOff>190500</xdr:rowOff>
        </xdr:to>
        <xdr:sp macro="" textlink="">
          <xdr:nvSpPr>
            <xdr:cNvPr id="7207" name="Option Button 39" hidden="1">
              <a:extLst>
                <a:ext uri="{63B3BB69-23CF-44E3-9099-C40C66FF867C}">
                  <a14:compatExt spid="_x0000_s7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xdr:row>
          <xdr:rowOff>38100</xdr:rowOff>
        </xdr:from>
        <xdr:to>
          <xdr:col>2</xdr:col>
          <xdr:colOff>1181100</xdr:colOff>
          <xdr:row>13</xdr:row>
          <xdr:rowOff>0</xdr:rowOff>
        </xdr:to>
        <xdr:sp macro="" textlink="">
          <xdr:nvSpPr>
            <xdr:cNvPr id="7211" name="Group Box 43" hidden="1">
              <a:extLst>
                <a:ext uri="{63B3BB69-23CF-44E3-9099-C40C66FF867C}">
                  <a14:compatExt spid="_x0000_s721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11</xdr:row>
          <xdr:rowOff>9525</xdr:rowOff>
        </xdr:from>
        <xdr:to>
          <xdr:col>2</xdr:col>
          <xdr:colOff>1047750</xdr:colOff>
          <xdr:row>11</xdr:row>
          <xdr:rowOff>209550</xdr:rowOff>
        </xdr:to>
        <xdr:sp macro="" textlink="">
          <xdr:nvSpPr>
            <xdr:cNvPr id="7212" name="Option Button 44" hidden="1">
              <a:extLst>
                <a:ext uri="{63B3BB69-23CF-44E3-9099-C40C66FF867C}">
                  <a14:compatExt spid="_x0000_s7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12</xdr:row>
          <xdr:rowOff>28575</xdr:rowOff>
        </xdr:from>
        <xdr:to>
          <xdr:col>2</xdr:col>
          <xdr:colOff>981075</xdr:colOff>
          <xdr:row>12</xdr:row>
          <xdr:rowOff>180975</xdr:rowOff>
        </xdr:to>
        <xdr:sp macro="" textlink="">
          <xdr:nvSpPr>
            <xdr:cNvPr id="7213" name="Option Button 45" hidden="1">
              <a:extLst>
                <a:ext uri="{63B3BB69-23CF-44E3-9099-C40C66FF867C}">
                  <a14:compatExt spid="_x0000_s7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xdr:row>
          <xdr:rowOff>38100</xdr:rowOff>
        </xdr:from>
        <xdr:to>
          <xdr:col>3</xdr:col>
          <xdr:colOff>1181100</xdr:colOff>
          <xdr:row>13</xdr:row>
          <xdr:rowOff>0</xdr:rowOff>
        </xdr:to>
        <xdr:sp macro="" textlink="">
          <xdr:nvSpPr>
            <xdr:cNvPr id="7217" name="Group Box 49" hidden="1">
              <a:extLst>
                <a:ext uri="{63B3BB69-23CF-44E3-9099-C40C66FF867C}">
                  <a14:compatExt spid="_x0000_s721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11</xdr:row>
          <xdr:rowOff>19050</xdr:rowOff>
        </xdr:from>
        <xdr:to>
          <xdr:col>3</xdr:col>
          <xdr:colOff>942975</xdr:colOff>
          <xdr:row>11</xdr:row>
          <xdr:rowOff>200025</xdr:rowOff>
        </xdr:to>
        <xdr:sp macro="" textlink="">
          <xdr:nvSpPr>
            <xdr:cNvPr id="7218" name="Option Button 50" hidden="1">
              <a:extLst>
                <a:ext uri="{63B3BB69-23CF-44E3-9099-C40C66FF867C}">
                  <a14:compatExt spid="_x0000_s7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12</xdr:row>
          <xdr:rowOff>38100</xdr:rowOff>
        </xdr:from>
        <xdr:to>
          <xdr:col>3</xdr:col>
          <xdr:colOff>866775</xdr:colOff>
          <xdr:row>12</xdr:row>
          <xdr:rowOff>200025</xdr:rowOff>
        </xdr:to>
        <xdr:sp macro="" textlink="">
          <xdr:nvSpPr>
            <xdr:cNvPr id="7219" name="Option Button 51" hidden="1">
              <a:extLst>
                <a:ext uri="{63B3BB69-23CF-44E3-9099-C40C66FF867C}">
                  <a14:compatExt spid="_x0000_s7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38100</xdr:rowOff>
        </xdr:from>
        <xdr:to>
          <xdr:col>5</xdr:col>
          <xdr:colOff>0</xdr:colOff>
          <xdr:row>13</xdr:row>
          <xdr:rowOff>0</xdr:rowOff>
        </xdr:to>
        <xdr:sp macro="" textlink="">
          <xdr:nvSpPr>
            <xdr:cNvPr id="7220" name="Group Box 52" hidden="1">
              <a:extLst>
                <a:ext uri="{63B3BB69-23CF-44E3-9099-C40C66FF867C}">
                  <a14:compatExt spid="_x0000_s722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11</xdr:row>
          <xdr:rowOff>9525</xdr:rowOff>
        </xdr:from>
        <xdr:to>
          <xdr:col>4</xdr:col>
          <xdr:colOff>1009650</xdr:colOff>
          <xdr:row>11</xdr:row>
          <xdr:rowOff>228600</xdr:rowOff>
        </xdr:to>
        <xdr:sp macro="" textlink="">
          <xdr:nvSpPr>
            <xdr:cNvPr id="7221" name="Option Button 53" hidden="1">
              <a:extLst>
                <a:ext uri="{63B3BB69-23CF-44E3-9099-C40C66FF867C}">
                  <a14:compatExt spid="_x0000_s7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12</xdr:row>
          <xdr:rowOff>38100</xdr:rowOff>
        </xdr:from>
        <xdr:to>
          <xdr:col>4</xdr:col>
          <xdr:colOff>981075</xdr:colOff>
          <xdr:row>12</xdr:row>
          <xdr:rowOff>200025</xdr:rowOff>
        </xdr:to>
        <xdr:sp macro="" textlink="">
          <xdr:nvSpPr>
            <xdr:cNvPr id="7222" name="Option Button 54" hidden="1">
              <a:extLst>
                <a:ext uri="{63B3BB69-23CF-44E3-9099-C40C66FF867C}">
                  <a14:compatExt spid="_x0000_s7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38100</xdr:rowOff>
        </xdr:from>
        <xdr:to>
          <xdr:col>6</xdr:col>
          <xdr:colOff>0</xdr:colOff>
          <xdr:row>13</xdr:row>
          <xdr:rowOff>9525</xdr:rowOff>
        </xdr:to>
        <xdr:sp macro="" textlink="">
          <xdr:nvSpPr>
            <xdr:cNvPr id="7226" name="Group Box 58" hidden="1">
              <a:extLst>
                <a:ext uri="{63B3BB69-23CF-44E3-9099-C40C66FF867C}">
                  <a14:compatExt spid="_x0000_s722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285750</xdr:colOff>
          <xdr:row>11</xdr:row>
          <xdr:rowOff>38100</xdr:rowOff>
        </xdr:from>
        <xdr:to>
          <xdr:col>5</xdr:col>
          <xdr:colOff>1038225</xdr:colOff>
          <xdr:row>11</xdr:row>
          <xdr:rowOff>228600</xdr:rowOff>
        </xdr:to>
        <xdr:sp macro="" textlink="">
          <xdr:nvSpPr>
            <xdr:cNvPr id="7227" name="Option Button 59" hidden="1">
              <a:extLst>
                <a:ext uri="{63B3BB69-23CF-44E3-9099-C40C66FF867C}">
                  <a14:compatExt spid="_x0000_s7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285750</xdr:colOff>
          <xdr:row>12</xdr:row>
          <xdr:rowOff>57150</xdr:rowOff>
        </xdr:from>
        <xdr:to>
          <xdr:col>5</xdr:col>
          <xdr:colOff>990600</xdr:colOff>
          <xdr:row>12</xdr:row>
          <xdr:rowOff>200025</xdr:rowOff>
        </xdr:to>
        <xdr:sp macro="" textlink="">
          <xdr:nvSpPr>
            <xdr:cNvPr id="7228" name="Option Button 60" hidden="1">
              <a:extLst>
                <a:ext uri="{63B3BB69-23CF-44E3-9099-C40C66FF867C}">
                  <a14:compatExt spid="_x0000_s7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xdr:row>
          <xdr:rowOff>38100</xdr:rowOff>
        </xdr:from>
        <xdr:to>
          <xdr:col>7</xdr:col>
          <xdr:colOff>0</xdr:colOff>
          <xdr:row>13</xdr:row>
          <xdr:rowOff>0</xdr:rowOff>
        </xdr:to>
        <xdr:sp macro="" textlink="">
          <xdr:nvSpPr>
            <xdr:cNvPr id="7232" name="Group Box 64" hidden="1">
              <a:extLst>
                <a:ext uri="{63B3BB69-23CF-44E3-9099-C40C66FF867C}">
                  <a14:compatExt spid="_x0000_s72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11</xdr:row>
          <xdr:rowOff>28575</xdr:rowOff>
        </xdr:from>
        <xdr:to>
          <xdr:col>6</xdr:col>
          <xdr:colOff>1028700</xdr:colOff>
          <xdr:row>11</xdr:row>
          <xdr:rowOff>219075</xdr:rowOff>
        </xdr:to>
        <xdr:sp macro="" textlink="">
          <xdr:nvSpPr>
            <xdr:cNvPr id="7233" name="Option Button 65" hidden="1">
              <a:extLst>
                <a:ext uri="{63B3BB69-23CF-44E3-9099-C40C66FF867C}">
                  <a14:compatExt spid="_x0000_s7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up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12</xdr:row>
          <xdr:rowOff>38100</xdr:rowOff>
        </xdr:from>
        <xdr:to>
          <xdr:col>6</xdr:col>
          <xdr:colOff>942975</xdr:colOff>
          <xdr:row>12</xdr:row>
          <xdr:rowOff>190500</xdr:rowOff>
        </xdr:to>
        <xdr:sp macro="" textlink="">
          <xdr:nvSpPr>
            <xdr:cNvPr id="7234" name="Option Button 66" hidden="1">
              <a:extLst>
                <a:ext uri="{63B3BB69-23CF-44E3-9099-C40C66FF867C}">
                  <a14:compatExt spid="_x0000_s7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down</a:t>
              </a:r>
            </a:p>
          </xdr:txBody>
        </xdr:sp>
        <xdr:clientData/>
      </xdr:twoCellAnchor>
    </mc:Choice>
    <mc:Fallback/>
  </mc:AlternateContent>
  <xdr:twoCellAnchor editAs="oneCell">
    <xdr:from>
      <xdr:col>2</xdr:col>
      <xdr:colOff>473939</xdr:colOff>
      <xdr:row>11</xdr:row>
      <xdr:rowOff>24533</xdr:rowOff>
    </xdr:from>
    <xdr:to>
      <xdr:col>2</xdr:col>
      <xdr:colOff>993983</xdr:colOff>
      <xdr:row>11</xdr:row>
      <xdr:rowOff>240533</xdr:rowOff>
    </xdr:to>
    <xdr:pic>
      <xdr:nvPicPr>
        <xdr:cNvPr id="5" name="图片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8894" y="2327851"/>
          <a:ext cx="520044" cy="216000"/>
        </a:xfrm>
        <a:prstGeom prst="rect">
          <a:avLst/>
        </a:prstGeom>
      </xdr:spPr>
    </xdr:pic>
    <xdr:clientData/>
  </xdr:twoCellAnchor>
  <xdr:twoCellAnchor editAs="oneCell">
    <xdr:from>
      <xdr:col>2</xdr:col>
      <xdr:colOff>476056</xdr:colOff>
      <xdr:row>12</xdr:row>
      <xdr:rowOff>12702</xdr:rowOff>
    </xdr:from>
    <xdr:to>
      <xdr:col>2</xdr:col>
      <xdr:colOff>996100</xdr:colOff>
      <xdr:row>12</xdr:row>
      <xdr:rowOff>228702</xdr:rowOff>
    </xdr:to>
    <xdr:pic>
      <xdr:nvPicPr>
        <xdr:cNvPr id="6" name="图片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71011" y="2558475"/>
          <a:ext cx="520044" cy="216000"/>
        </a:xfrm>
        <a:prstGeom prst="rect">
          <a:avLst/>
        </a:prstGeom>
      </xdr:spPr>
    </xdr:pic>
    <xdr:clientData/>
  </xdr:twoCellAnchor>
  <xdr:twoCellAnchor editAs="oneCell">
    <xdr:from>
      <xdr:col>4</xdr:col>
      <xdr:colOff>510886</xdr:colOff>
      <xdr:row>11</xdr:row>
      <xdr:rowOff>17319</xdr:rowOff>
    </xdr:from>
    <xdr:to>
      <xdr:col>4</xdr:col>
      <xdr:colOff>1145453</xdr:colOff>
      <xdr:row>12</xdr:row>
      <xdr:rowOff>190</xdr:rowOff>
    </xdr:to>
    <xdr:pic>
      <xdr:nvPicPr>
        <xdr:cNvPr id="9" name="图片 8"/>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2813" t="25683" b="-2"/>
        <a:stretch/>
      </xdr:blipFill>
      <xdr:spPr>
        <a:xfrm>
          <a:off x="4095750" y="2320637"/>
          <a:ext cx="634567" cy="224659"/>
        </a:xfrm>
        <a:prstGeom prst="rect">
          <a:avLst/>
        </a:prstGeom>
      </xdr:spPr>
    </xdr:pic>
    <xdr:clientData/>
  </xdr:twoCellAnchor>
  <xdr:twoCellAnchor editAs="oneCell">
    <xdr:from>
      <xdr:col>4</xdr:col>
      <xdr:colOff>597477</xdr:colOff>
      <xdr:row>12</xdr:row>
      <xdr:rowOff>8658</xdr:rowOff>
    </xdr:from>
    <xdr:to>
      <xdr:col>4</xdr:col>
      <xdr:colOff>1117687</xdr:colOff>
      <xdr:row>12</xdr:row>
      <xdr:rowOff>224658</xdr:rowOff>
    </xdr:to>
    <xdr:pic>
      <xdr:nvPicPr>
        <xdr:cNvPr id="10" name="图片 9"/>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27995" t="28017"/>
        <a:stretch/>
      </xdr:blipFill>
      <xdr:spPr>
        <a:xfrm>
          <a:off x="4182341" y="2554431"/>
          <a:ext cx="520210" cy="216000"/>
        </a:xfrm>
        <a:prstGeom prst="rect">
          <a:avLst/>
        </a:prstGeom>
      </xdr:spPr>
    </xdr:pic>
    <xdr:clientData/>
  </xdr:twoCellAnchor>
  <xdr:twoCellAnchor editAs="oneCell">
    <xdr:from>
      <xdr:col>5</xdr:col>
      <xdr:colOff>554181</xdr:colOff>
      <xdr:row>11</xdr:row>
      <xdr:rowOff>25979</xdr:rowOff>
    </xdr:from>
    <xdr:to>
      <xdr:col>5</xdr:col>
      <xdr:colOff>1081143</xdr:colOff>
      <xdr:row>11</xdr:row>
      <xdr:rowOff>205979</xdr:rowOff>
    </xdr:to>
    <xdr:pic>
      <xdr:nvPicPr>
        <xdr:cNvPr id="11" name="图片 10"/>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33949" t="24721" b="20959"/>
        <a:stretch/>
      </xdr:blipFill>
      <xdr:spPr>
        <a:xfrm>
          <a:off x="5333999" y="2329297"/>
          <a:ext cx="526962" cy="180000"/>
        </a:xfrm>
        <a:prstGeom prst="rect">
          <a:avLst/>
        </a:prstGeom>
      </xdr:spPr>
    </xdr:pic>
    <xdr:clientData/>
  </xdr:twoCellAnchor>
  <xdr:twoCellAnchor editAs="oneCell">
    <xdr:from>
      <xdr:col>5</xdr:col>
      <xdr:colOff>545522</xdr:colOff>
      <xdr:row>12</xdr:row>
      <xdr:rowOff>17317</xdr:rowOff>
    </xdr:from>
    <xdr:to>
      <xdr:col>5</xdr:col>
      <xdr:colOff>1085523</xdr:colOff>
      <xdr:row>12</xdr:row>
      <xdr:rowOff>233317</xdr:rowOff>
    </xdr:to>
    <xdr:pic>
      <xdr:nvPicPr>
        <xdr:cNvPr id="12" name="图片 11"/>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34408" t="21087" r="-649" b="16305"/>
        <a:stretch/>
      </xdr:blipFill>
      <xdr:spPr>
        <a:xfrm>
          <a:off x="5325340" y="2563090"/>
          <a:ext cx="540001" cy="216000"/>
        </a:xfrm>
        <a:prstGeom prst="rect">
          <a:avLst/>
        </a:prstGeom>
      </xdr:spPr>
    </xdr:pic>
    <xdr:clientData/>
  </xdr:twoCellAnchor>
  <xdr:twoCellAnchor editAs="oneCell">
    <xdr:from>
      <xdr:col>6</xdr:col>
      <xdr:colOff>696722</xdr:colOff>
      <xdr:row>11</xdr:row>
      <xdr:rowOff>37968</xdr:rowOff>
    </xdr:from>
    <xdr:to>
      <xdr:col>6</xdr:col>
      <xdr:colOff>982605</xdr:colOff>
      <xdr:row>11</xdr:row>
      <xdr:rowOff>217968</xdr:rowOff>
    </xdr:to>
    <xdr:pic>
      <xdr:nvPicPr>
        <xdr:cNvPr id="13" name="图片 12"/>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57907" t="16982" r="6848" b="26441"/>
        <a:stretch/>
      </xdr:blipFill>
      <xdr:spPr>
        <a:xfrm>
          <a:off x="6763414" y="2338622"/>
          <a:ext cx="285883" cy="180000"/>
        </a:xfrm>
        <a:prstGeom prst="rect">
          <a:avLst/>
        </a:prstGeom>
      </xdr:spPr>
    </xdr:pic>
    <xdr:clientData/>
  </xdr:twoCellAnchor>
  <xdr:twoCellAnchor editAs="oneCell">
    <xdr:from>
      <xdr:col>6</xdr:col>
      <xdr:colOff>545523</xdr:colOff>
      <xdr:row>12</xdr:row>
      <xdr:rowOff>39296</xdr:rowOff>
    </xdr:from>
    <xdr:to>
      <xdr:col>6</xdr:col>
      <xdr:colOff>993100</xdr:colOff>
      <xdr:row>12</xdr:row>
      <xdr:rowOff>219296</xdr:rowOff>
    </xdr:to>
    <xdr:pic>
      <xdr:nvPicPr>
        <xdr:cNvPr id="14" name="图片 13"/>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38297" t="28427" r="3426" b="15145"/>
        <a:stretch/>
      </xdr:blipFill>
      <xdr:spPr>
        <a:xfrm>
          <a:off x="6612215" y="2581738"/>
          <a:ext cx="447577" cy="180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16</xdr:row>
          <xdr:rowOff>85725</xdr:rowOff>
        </xdr:from>
        <xdr:to>
          <xdr:col>5</xdr:col>
          <xdr:colOff>123825</xdr:colOff>
          <xdr:row>18</xdr:row>
          <xdr:rowOff>95250</xdr:rowOff>
        </xdr:to>
        <xdr:sp macro="" textlink="">
          <xdr:nvSpPr>
            <xdr:cNvPr id="7236" name="Group Box 68" hidden="1">
              <a:extLst>
                <a:ext uri="{63B3BB69-23CF-44E3-9099-C40C66FF867C}">
                  <a14:compatExt spid="_x0000_s72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CA" sz="900" b="0" i="0" u="none" strike="noStrike" baseline="0">
                  <a:solidFill>
                    <a:srgbClr val="000000"/>
                  </a:solidFill>
                  <a:latin typeface="宋体"/>
                  <a:ea typeface="宋体"/>
                </a:rPr>
                <a:t>Ƙ/M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17</xdr:row>
          <xdr:rowOff>9525</xdr:rowOff>
        </xdr:from>
        <xdr:to>
          <xdr:col>1</xdr:col>
          <xdr:colOff>428625</xdr:colOff>
          <xdr:row>18</xdr:row>
          <xdr:rowOff>47625</xdr:rowOff>
        </xdr:to>
        <xdr:sp macro="" textlink="">
          <xdr:nvSpPr>
            <xdr:cNvPr id="7237" name="Option Button 69" hidden="1">
              <a:extLst>
                <a:ext uri="{63B3BB69-23CF-44E3-9099-C40C66FF867C}">
                  <a14:compatExt spid="_x0000_s7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Curvature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17</xdr:row>
          <xdr:rowOff>19050</xdr:rowOff>
        </xdr:from>
        <xdr:to>
          <xdr:col>3</xdr:col>
          <xdr:colOff>352425</xdr:colOff>
          <xdr:row>18</xdr:row>
          <xdr:rowOff>47625</xdr:rowOff>
        </xdr:to>
        <xdr:sp macro="" textlink="">
          <xdr:nvSpPr>
            <xdr:cNvPr id="7238" name="Option Button 70" descr="Moment" hidden="1">
              <a:extLst>
                <a:ext uri="{63B3BB69-23CF-44E3-9099-C40C66FF867C}">
                  <a14:compatExt spid="_x0000_s7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900" b="0" i="0" u="none" strike="noStrike" baseline="0">
                  <a:solidFill>
                    <a:srgbClr val="000000"/>
                  </a:solidFill>
                  <a:latin typeface="宋体"/>
                  <a:ea typeface="宋体"/>
                </a:rPr>
                <a:t>     Moment</a:t>
              </a:r>
            </a:p>
          </xdr:txBody>
        </xdr:sp>
        <xdr:clientData/>
      </xdr:twoCellAnchor>
    </mc:Choice>
    <mc:Fallback/>
  </mc:AlternateContent>
  <xdr:twoCellAnchor editAs="oneCell">
    <xdr:from>
      <xdr:col>1</xdr:col>
      <xdr:colOff>483577</xdr:colOff>
      <xdr:row>11</xdr:row>
      <xdr:rowOff>29307</xdr:rowOff>
    </xdr:from>
    <xdr:to>
      <xdr:col>1</xdr:col>
      <xdr:colOff>1004460</xdr:colOff>
      <xdr:row>11</xdr:row>
      <xdr:rowOff>223327</xdr:rowOff>
    </xdr:to>
    <xdr:pic>
      <xdr:nvPicPr>
        <xdr:cNvPr id="15" name="图片 14"/>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val="0"/>
            </a:ext>
          </a:extLst>
        </a:blip>
        <a:srcRect t="10176" b="1"/>
        <a:stretch/>
      </xdr:blipFill>
      <xdr:spPr>
        <a:xfrm>
          <a:off x="578827" y="2329961"/>
          <a:ext cx="520883" cy="194020"/>
        </a:xfrm>
        <a:prstGeom prst="rect">
          <a:avLst/>
        </a:prstGeom>
      </xdr:spPr>
    </xdr:pic>
    <xdr:clientData/>
  </xdr:twoCellAnchor>
  <xdr:twoCellAnchor editAs="oneCell">
    <xdr:from>
      <xdr:col>1</xdr:col>
      <xdr:colOff>476250</xdr:colOff>
      <xdr:row>12</xdr:row>
      <xdr:rowOff>21980</xdr:rowOff>
    </xdr:from>
    <xdr:to>
      <xdr:col>1</xdr:col>
      <xdr:colOff>996294</xdr:colOff>
      <xdr:row>12</xdr:row>
      <xdr:rowOff>215999</xdr:rowOff>
    </xdr:to>
    <xdr:pic>
      <xdr:nvPicPr>
        <xdr:cNvPr id="16" name="图片 15"/>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t="10176"/>
        <a:stretch/>
      </xdr:blipFill>
      <xdr:spPr>
        <a:xfrm>
          <a:off x="571500" y="2564422"/>
          <a:ext cx="520044" cy="194019"/>
        </a:xfrm>
        <a:prstGeom prst="rect">
          <a:avLst/>
        </a:prstGeom>
      </xdr:spPr>
    </xdr:pic>
    <xdr:clientData/>
  </xdr:twoCellAnchor>
  <xdr:twoCellAnchor editAs="oneCell">
    <xdr:from>
      <xdr:col>3</xdr:col>
      <xdr:colOff>549519</xdr:colOff>
      <xdr:row>11</xdr:row>
      <xdr:rowOff>14654</xdr:rowOff>
    </xdr:from>
    <xdr:to>
      <xdr:col>3</xdr:col>
      <xdr:colOff>1069563</xdr:colOff>
      <xdr:row>11</xdr:row>
      <xdr:rowOff>230654</xdr:rowOff>
    </xdr:to>
    <xdr:pic>
      <xdr:nvPicPr>
        <xdr:cNvPr id="17" name="图片 1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033346" y="2315308"/>
          <a:ext cx="520044" cy="216000"/>
        </a:xfrm>
        <a:prstGeom prst="rect">
          <a:avLst/>
        </a:prstGeom>
      </xdr:spPr>
    </xdr:pic>
    <xdr:clientData/>
  </xdr:twoCellAnchor>
  <xdr:twoCellAnchor editAs="oneCell">
    <xdr:from>
      <xdr:col>3</xdr:col>
      <xdr:colOff>564173</xdr:colOff>
      <xdr:row>12</xdr:row>
      <xdr:rowOff>7327</xdr:rowOff>
    </xdr:from>
    <xdr:to>
      <xdr:col>3</xdr:col>
      <xdr:colOff>1084217</xdr:colOff>
      <xdr:row>12</xdr:row>
      <xdr:rowOff>223327</xdr:rowOff>
    </xdr:to>
    <xdr:pic>
      <xdr:nvPicPr>
        <xdr:cNvPr id="18" name="图片 17"/>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048000" y="2549769"/>
          <a:ext cx="520044" cy="21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770226</xdr:colOff>
      <xdr:row>1</xdr:row>
      <xdr:rowOff>34637</xdr:rowOff>
    </xdr:from>
    <xdr:ext cx="2918548" cy="379206"/>
    <mc:AlternateContent xmlns:mc="http://schemas.openxmlformats.org/markup-compatibility/2006" xmlns:a14="http://schemas.microsoft.com/office/drawing/2010/main">
      <mc:Choice Requires="a14">
        <xdr:sp macro="" textlink="">
          <xdr:nvSpPr>
            <xdr:cNvPr id="2" name="TextBox 1"/>
            <xdr:cNvSpPr txBox="1"/>
          </xdr:nvSpPr>
          <xdr:spPr>
            <a:xfrm>
              <a:off x="1861271" y="415637"/>
              <a:ext cx="291854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1</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1</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1</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1</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2" name="TextBox 1"/>
            <xdr:cNvSpPr txBox="1"/>
          </xdr:nvSpPr>
          <xdr:spPr>
            <a:xfrm>
              <a:off x="1861271" y="415637"/>
              <a:ext cx="291854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altLang="zh-CN" sz="1800" b="0" i="0">
                  <a:latin typeface="Cambria Math"/>
                </a:rPr>
                <a:t>𝑎_1+ 𝑏_1 𝑥+𝑐_1 𝑥^2+ 𝑑_1 𝑥^3</a:t>
              </a:r>
              <a:endParaRPr lang="zh-CN" altLang="en-US" sz="1800"/>
            </a:p>
          </xdr:txBody>
        </xdr:sp>
      </mc:Fallback>
    </mc:AlternateContent>
    <xdr:clientData/>
  </xdr:oneCellAnchor>
  <xdr:oneCellAnchor>
    <xdr:from>
      <xdr:col>6</xdr:col>
      <xdr:colOff>791441</xdr:colOff>
      <xdr:row>1</xdr:row>
      <xdr:rowOff>17319</xdr:rowOff>
    </xdr:from>
    <xdr:ext cx="2845378" cy="379206"/>
    <mc:AlternateContent xmlns:mc="http://schemas.openxmlformats.org/markup-compatibility/2006" xmlns:a14="http://schemas.microsoft.com/office/drawing/2010/main">
      <mc:Choice Requires="a14">
        <xdr:sp macro="" textlink="">
          <xdr:nvSpPr>
            <xdr:cNvPr id="3" name="TextBox 2"/>
            <xdr:cNvSpPr txBox="1"/>
          </xdr:nvSpPr>
          <xdr:spPr>
            <a:xfrm>
              <a:off x="6246668" y="398319"/>
              <a:ext cx="284537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2</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2</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2</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2</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3" name="TextBox 2"/>
            <xdr:cNvSpPr txBox="1"/>
          </xdr:nvSpPr>
          <xdr:spPr>
            <a:xfrm>
              <a:off x="6246668" y="398319"/>
              <a:ext cx="284537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altLang="zh-CN" sz="1800" b="0" i="0">
                  <a:latin typeface="Cambria Math"/>
                </a:rPr>
                <a:t>𝑎_2+ 𝑏_2 𝑥+𝑐_2 𝑥^2+ 𝑑_2 𝑥^3</a:t>
              </a:r>
              <a:endParaRPr lang="zh-CN" altLang="en-US" sz="1800"/>
            </a:p>
          </xdr:txBody>
        </xdr:sp>
      </mc:Fallback>
    </mc:AlternateContent>
    <xdr:clientData/>
  </xdr:oneCellAnchor>
  <xdr:oneCellAnchor>
    <xdr:from>
      <xdr:col>10</xdr:col>
      <xdr:colOff>658091</xdr:colOff>
      <xdr:row>1</xdr:row>
      <xdr:rowOff>34636</xdr:rowOff>
    </xdr:from>
    <xdr:ext cx="3013364" cy="379206"/>
    <mc:AlternateContent xmlns:mc="http://schemas.openxmlformats.org/markup-compatibility/2006" xmlns:a14="http://schemas.microsoft.com/office/drawing/2010/main">
      <mc:Choice Requires="a14">
        <xdr:sp macro="" textlink="">
          <xdr:nvSpPr>
            <xdr:cNvPr id="5" name="TextBox 4"/>
            <xdr:cNvSpPr txBox="1"/>
          </xdr:nvSpPr>
          <xdr:spPr>
            <a:xfrm>
              <a:off x="10477500" y="415636"/>
              <a:ext cx="3013364"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3</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3</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3</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3</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5" name="TextBox 4"/>
            <xdr:cNvSpPr txBox="1"/>
          </xdr:nvSpPr>
          <xdr:spPr>
            <a:xfrm>
              <a:off x="10477500" y="415636"/>
              <a:ext cx="3013364"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altLang="zh-CN" sz="1800" b="0" i="0">
                  <a:latin typeface="Cambria Math"/>
                </a:rPr>
                <a:t>𝑎_3+ 𝑏_3 𝑥+𝑐_3 𝑥^2+ 𝑑_3 𝑥^3</a:t>
              </a:r>
              <a:endParaRPr lang="zh-CN" altLang="en-US" sz="1800"/>
            </a:p>
          </xdr:txBody>
        </xdr:sp>
      </mc:Fallback>
    </mc:AlternateContent>
    <xdr:clientData/>
  </xdr:oneCellAnchor>
  <xdr:oneCellAnchor>
    <xdr:from>
      <xdr:col>7</xdr:col>
      <xdr:colOff>298846</xdr:colOff>
      <xdr:row>18</xdr:row>
      <xdr:rowOff>126206</xdr:rowOff>
    </xdr:from>
    <xdr:ext cx="914400" cy="300531"/>
    <mc:AlternateContent xmlns:mc="http://schemas.openxmlformats.org/markup-compatibility/2006" xmlns:a14="http://schemas.microsoft.com/office/drawing/2010/main">
      <mc:Choice Requires="a14">
        <xdr:sp macro="" textlink="">
          <xdr:nvSpPr>
            <xdr:cNvPr id="8" name="TextBox 7"/>
            <xdr:cNvSpPr txBox="1"/>
          </xdr:nvSpPr>
          <xdr:spPr>
            <a:xfrm>
              <a:off x="4561284" y="4781550"/>
              <a:ext cx="914400" cy="300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sSup>
                      <m:sSupPr>
                        <m:ctrlPr>
                          <a:rPr lang="en-US" altLang="zh-CN" sz="1200" b="1" i="1">
                            <a:latin typeface="Cambria Math" panose="02040503050406030204" pitchFamily="18" charset="0"/>
                          </a:rPr>
                        </m:ctrlPr>
                      </m:sSupPr>
                      <m:e>
                        <m:r>
                          <a:rPr lang="en-CA" altLang="zh-CN" sz="1200" b="1" i="0">
                            <a:latin typeface="Cambria Math" panose="02040503050406030204" pitchFamily="18" charset="0"/>
                          </a:rPr>
                          <m:t>𝐀</m:t>
                        </m:r>
                      </m:e>
                      <m:sup>
                        <m:r>
                          <a:rPr lang="en-CA" altLang="zh-CN" sz="1200" b="1" i="0">
                            <a:latin typeface="Cambria Math" panose="02040503050406030204" pitchFamily="18" charset="0"/>
                          </a:rPr>
                          <m:t>−</m:t>
                        </m:r>
                        <m:r>
                          <a:rPr lang="en-CA" altLang="zh-CN" sz="1200" b="1" i="0">
                            <a:latin typeface="Cambria Math" panose="02040503050406030204" pitchFamily="18" charset="0"/>
                          </a:rPr>
                          <m:t>𝟏</m:t>
                        </m:r>
                      </m:sup>
                    </m:sSup>
                  </m:oMath>
                </m:oMathPara>
              </a14:m>
              <a:endParaRPr lang="zh-CN" altLang="en-US" sz="1200" b="1" i="0">
                <a:latin typeface="+mn-lt"/>
              </a:endParaRPr>
            </a:p>
          </xdr:txBody>
        </xdr:sp>
      </mc:Choice>
      <mc:Fallback xmlns="">
        <xdr:sp macro="" textlink="">
          <xdr:nvSpPr>
            <xdr:cNvPr id="8" name="TextBox 7"/>
            <xdr:cNvSpPr txBox="1"/>
          </xdr:nvSpPr>
          <xdr:spPr>
            <a:xfrm>
              <a:off x="4561284" y="4781550"/>
              <a:ext cx="914400" cy="300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CA" altLang="zh-CN" sz="1200" b="1" i="0">
                  <a:latin typeface="+mn-lt"/>
                </a:rPr>
                <a:t>𝐀</a:t>
              </a:r>
              <a:r>
                <a:rPr lang="en-US" altLang="zh-CN" sz="1200" b="1" i="0">
                  <a:latin typeface="+mn-lt"/>
                </a:rPr>
                <a:t>^(</a:t>
              </a:r>
              <a:r>
                <a:rPr lang="en-CA" altLang="zh-CN" sz="1200" b="1" i="0">
                  <a:latin typeface="+mn-lt"/>
                </a:rPr>
                <a:t>−𝟏</a:t>
              </a:r>
              <a:r>
                <a:rPr lang="en-US" altLang="zh-CN" sz="1200" b="1" i="0">
                  <a:latin typeface="+mn-lt"/>
                </a:rPr>
                <a:t>)</a:t>
              </a:r>
              <a:endParaRPr lang="zh-CN" altLang="en-US" sz="1200" b="1" i="0">
                <a:latin typeface="+mn-lt"/>
              </a:endParaRPr>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0</xdr:col>
      <xdr:colOff>114766</xdr:colOff>
      <xdr:row>30</xdr:row>
      <xdr:rowOff>135266</xdr:rowOff>
    </xdr:from>
    <xdr:ext cx="379206" cy="2918548"/>
    <mc:AlternateContent xmlns:mc="http://schemas.openxmlformats.org/markup-compatibility/2006" xmlns:a14="http://schemas.microsoft.com/office/drawing/2010/main">
      <mc:Choice Requires="a14">
        <xdr:sp macro="" textlink="">
          <xdr:nvSpPr>
            <xdr:cNvPr id="3" name="TextBox 2"/>
            <xdr:cNvSpPr txBox="1"/>
          </xdr:nvSpPr>
          <xdr:spPr>
            <a:xfrm rot="16200000">
              <a:off x="-1154905" y="7119937"/>
              <a:ext cx="291854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14:m>
                <m:oMathPara xmlns:m="http://schemas.openxmlformats.org/officeDocument/2006/math">
                  <m:oMathParaPr>
                    <m:jc m:val="centerGroup"/>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1</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1</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1</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1</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3" name="TextBox 2"/>
            <xdr:cNvSpPr txBox="1"/>
          </xdr:nvSpPr>
          <xdr:spPr>
            <a:xfrm rot="16200000">
              <a:off x="-1154905" y="7119937"/>
              <a:ext cx="291854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r>
                <a:rPr lang="en-US" altLang="zh-CN" sz="1800" b="0" i="0">
                  <a:latin typeface="Cambria Math"/>
                </a:rPr>
                <a:t>𝑎_1+ 𝑏_1 𝑥+𝑐_1 𝑥^2+ 𝑑_1 𝑥^3</a:t>
              </a:r>
              <a:endParaRPr lang="zh-CN" altLang="en-US" sz="1800"/>
            </a:p>
          </xdr:txBody>
        </xdr:sp>
      </mc:Fallback>
    </mc:AlternateContent>
    <xdr:clientData/>
  </xdr:oneCellAnchor>
  <xdr:oneCellAnchor>
    <xdr:from>
      <xdr:col>0</xdr:col>
      <xdr:colOff>140886</xdr:colOff>
      <xdr:row>131</xdr:row>
      <xdr:rowOff>33737</xdr:rowOff>
    </xdr:from>
    <xdr:ext cx="379206" cy="2845378"/>
    <mc:AlternateContent xmlns:mc="http://schemas.openxmlformats.org/markup-compatibility/2006" xmlns:a14="http://schemas.microsoft.com/office/drawing/2010/main">
      <mc:Choice Requires="a14">
        <xdr:sp macro="" textlink="">
          <xdr:nvSpPr>
            <xdr:cNvPr id="4" name="TextBox 3"/>
            <xdr:cNvSpPr txBox="1"/>
          </xdr:nvSpPr>
          <xdr:spPr>
            <a:xfrm rot="16200000">
              <a:off x="-1092200" y="23793448"/>
              <a:ext cx="284537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2</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2</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2</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2</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4" name="TextBox 3"/>
            <xdr:cNvSpPr txBox="1"/>
          </xdr:nvSpPr>
          <xdr:spPr>
            <a:xfrm rot="16200000">
              <a:off x="-1092200" y="23793448"/>
              <a:ext cx="2845378"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altLang="zh-CN" sz="1800" b="0" i="0">
                  <a:latin typeface="Cambria Math"/>
                </a:rPr>
                <a:t>𝑎_2+ 𝑏_2 𝑥+𝑐_2 𝑥^2+ 𝑑_2 𝑥^3</a:t>
              </a:r>
              <a:endParaRPr lang="zh-CN" altLang="en-US" sz="1800"/>
            </a:p>
          </xdr:txBody>
        </xdr:sp>
      </mc:Fallback>
    </mc:AlternateContent>
    <xdr:clientData/>
  </xdr:oneCellAnchor>
  <xdr:oneCellAnchor>
    <xdr:from>
      <xdr:col>0</xdr:col>
      <xdr:colOff>115871</xdr:colOff>
      <xdr:row>231</xdr:row>
      <xdr:rowOff>32296</xdr:rowOff>
    </xdr:from>
    <xdr:ext cx="379206" cy="3013364"/>
    <mc:AlternateContent xmlns:mc="http://schemas.openxmlformats.org/markup-compatibility/2006" xmlns:a14="http://schemas.microsoft.com/office/drawing/2010/main">
      <mc:Choice Requires="a14">
        <xdr:sp macro="" textlink="">
          <xdr:nvSpPr>
            <xdr:cNvPr id="7" name="TextBox 6"/>
            <xdr:cNvSpPr txBox="1"/>
          </xdr:nvSpPr>
          <xdr:spPr>
            <a:xfrm rot="16200000">
              <a:off x="-1201208" y="41030525"/>
              <a:ext cx="3013364"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b>
                      <m:sSubPr>
                        <m:ctrlPr>
                          <a:rPr lang="en-US" altLang="zh-CN" sz="1800" i="1">
                            <a:latin typeface="Cambria Math" panose="02040503050406030204" pitchFamily="18" charset="0"/>
                          </a:rPr>
                        </m:ctrlPr>
                      </m:sSubPr>
                      <m:e>
                        <m:r>
                          <a:rPr lang="en-US" altLang="zh-CN" sz="1800" b="0" i="1">
                            <a:latin typeface="Cambria Math"/>
                          </a:rPr>
                          <m:t>𝑎</m:t>
                        </m:r>
                      </m:e>
                      <m:sub>
                        <m:r>
                          <a:rPr lang="en-US" altLang="zh-CN" sz="1800" b="0" i="1">
                            <a:latin typeface="Cambria Math"/>
                          </a:rPr>
                          <m:t>3</m:t>
                        </m:r>
                      </m:sub>
                    </m:sSub>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𝑏</m:t>
                        </m:r>
                      </m:e>
                      <m:sub>
                        <m:r>
                          <a:rPr lang="en-US" altLang="zh-CN" sz="1800" b="0" i="1">
                            <a:latin typeface="Cambria Math"/>
                          </a:rPr>
                          <m:t>3</m:t>
                        </m:r>
                      </m:sub>
                    </m:sSub>
                    <m:r>
                      <a:rPr lang="en-US" altLang="zh-CN" sz="1800" b="0" i="1">
                        <a:latin typeface="Cambria Math"/>
                      </a:rPr>
                      <m:t>𝑥</m:t>
                    </m:r>
                    <m:r>
                      <a:rPr lang="en-US" altLang="zh-CN" sz="1800" b="0" i="1">
                        <a:latin typeface="Cambria Math"/>
                      </a:rPr>
                      <m:t>+</m:t>
                    </m:r>
                    <m:sSub>
                      <m:sSubPr>
                        <m:ctrlPr>
                          <a:rPr lang="en-US" altLang="zh-CN" sz="1800" b="0" i="1">
                            <a:latin typeface="Cambria Math" panose="02040503050406030204" pitchFamily="18" charset="0"/>
                          </a:rPr>
                        </m:ctrlPr>
                      </m:sSubPr>
                      <m:e>
                        <m:r>
                          <a:rPr lang="en-US" altLang="zh-CN" sz="1800" b="0" i="1">
                            <a:latin typeface="Cambria Math"/>
                          </a:rPr>
                          <m:t>𝑐</m:t>
                        </m:r>
                      </m:e>
                      <m:sub>
                        <m:r>
                          <a:rPr lang="en-US" altLang="zh-CN" sz="1800" b="0" i="1">
                            <a:latin typeface="Cambria Math"/>
                          </a:rPr>
                          <m:t>3</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2</m:t>
                        </m:r>
                      </m:sup>
                    </m:sSup>
                    <m:r>
                      <a:rPr lang="en-US" altLang="zh-CN" sz="1800" b="0" i="1">
                        <a:latin typeface="Cambria Math"/>
                      </a:rPr>
                      <m:t>+ </m:t>
                    </m:r>
                    <m:sSub>
                      <m:sSubPr>
                        <m:ctrlPr>
                          <a:rPr lang="en-US" altLang="zh-CN" sz="1800" b="0" i="1">
                            <a:latin typeface="Cambria Math" panose="02040503050406030204" pitchFamily="18" charset="0"/>
                          </a:rPr>
                        </m:ctrlPr>
                      </m:sSubPr>
                      <m:e>
                        <m:r>
                          <a:rPr lang="en-US" altLang="zh-CN" sz="1800" b="0" i="1">
                            <a:latin typeface="Cambria Math"/>
                          </a:rPr>
                          <m:t>𝑑</m:t>
                        </m:r>
                      </m:e>
                      <m:sub>
                        <m:r>
                          <a:rPr lang="en-US" altLang="zh-CN" sz="1800" b="0" i="1">
                            <a:latin typeface="Cambria Math"/>
                          </a:rPr>
                          <m:t>3</m:t>
                        </m:r>
                      </m:sub>
                    </m:sSub>
                    <m:sSup>
                      <m:sSupPr>
                        <m:ctrlPr>
                          <a:rPr lang="en-US" altLang="zh-CN" sz="1800" b="0" i="1">
                            <a:latin typeface="Cambria Math" panose="02040503050406030204" pitchFamily="18" charset="0"/>
                          </a:rPr>
                        </m:ctrlPr>
                      </m:sSupPr>
                      <m:e>
                        <m:r>
                          <a:rPr lang="en-US" altLang="zh-CN" sz="1800" b="0" i="1">
                            <a:latin typeface="Cambria Math"/>
                          </a:rPr>
                          <m:t>𝑥</m:t>
                        </m:r>
                      </m:e>
                      <m:sup>
                        <m:r>
                          <a:rPr lang="en-US" altLang="zh-CN" sz="1800" b="0" i="1">
                            <a:latin typeface="Cambria Math"/>
                          </a:rPr>
                          <m:t>3</m:t>
                        </m:r>
                      </m:sup>
                    </m:sSup>
                  </m:oMath>
                </m:oMathPara>
              </a14:m>
              <a:endParaRPr lang="zh-CN" altLang="en-US" sz="1800"/>
            </a:p>
          </xdr:txBody>
        </xdr:sp>
      </mc:Choice>
      <mc:Fallback xmlns="">
        <xdr:sp macro="" textlink="">
          <xdr:nvSpPr>
            <xdr:cNvPr id="7" name="TextBox 6"/>
            <xdr:cNvSpPr txBox="1"/>
          </xdr:nvSpPr>
          <xdr:spPr>
            <a:xfrm rot="16200000">
              <a:off x="-1201208" y="41030525"/>
              <a:ext cx="3013364" cy="37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altLang="zh-CN" sz="1800" b="0" i="0">
                  <a:latin typeface="Cambria Math"/>
                </a:rPr>
                <a:t>𝑎_3+ 𝑏_3 𝑥+𝑐_3 𝑥^2+ 𝑑_3 𝑥^3</a:t>
              </a:r>
              <a:endParaRPr lang="zh-CN" altLang="en-US" sz="18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7</xdr:row>
      <xdr:rowOff>123825</xdr:rowOff>
    </xdr:from>
    <xdr:to>
      <xdr:col>0</xdr:col>
      <xdr:colOff>302760</xdr:colOff>
      <xdr:row>8</xdr:row>
      <xdr:rowOff>135396</xdr:rowOff>
    </xdr:to>
    <xdr:pic>
      <xdr:nvPicPr>
        <xdr:cNvPr id="9" name="Specified Load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1409700"/>
          <a:ext cx="178935" cy="206834"/>
        </a:xfrm>
        <a:prstGeom prst="rect">
          <a:avLst/>
        </a:prstGeom>
      </xdr:spPr>
    </xdr:pic>
    <xdr:clientData/>
  </xdr:twoCellAnchor>
  <xdr:twoCellAnchor>
    <xdr:from>
      <xdr:col>0</xdr:col>
      <xdr:colOff>190501</xdr:colOff>
      <xdr:row>5</xdr:row>
      <xdr:rowOff>76200</xdr:rowOff>
    </xdr:from>
    <xdr:to>
      <xdr:col>0</xdr:col>
      <xdr:colOff>314325</xdr:colOff>
      <xdr:row>6</xdr:row>
      <xdr:rowOff>0</xdr:rowOff>
    </xdr:to>
    <xdr:sp macro="" textlink="">
      <xdr:nvSpPr>
        <xdr:cNvPr id="11" name="Simply Support3"/>
        <xdr:cNvSpPr/>
      </xdr:nvSpPr>
      <xdr:spPr>
        <a:xfrm>
          <a:off x="190500" y="1123950"/>
          <a:ext cx="123825" cy="114300"/>
        </a:xfrm>
        <a:prstGeom prst="triangle">
          <a:avLst/>
        </a:prstGeom>
        <a:solidFill>
          <a:schemeClr val="accent1">
            <a:lumMod val="40000"/>
            <a:lumOff val="60000"/>
          </a:schemeClr>
        </a:solidFill>
        <a:ln w="190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CA"/>
        </a:p>
      </xdr:txBody>
    </xdr:sp>
    <xdr:clientData/>
  </xdr:twoCellAnchor>
  <xdr:twoCellAnchor>
    <xdr:from>
      <xdr:col>0</xdr:col>
      <xdr:colOff>249556</xdr:colOff>
      <xdr:row>3</xdr:row>
      <xdr:rowOff>161925</xdr:rowOff>
    </xdr:from>
    <xdr:to>
      <xdr:col>0</xdr:col>
      <xdr:colOff>295275</xdr:colOff>
      <xdr:row>5</xdr:row>
      <xdr:rowOff>38100</xdr:rowOff>
    </xdr:to>
    <xdr:grpSp>
      <xdr:nvGrpSpPr>
        <xdr:cNvPr id="12" name="Clamped4"/>
        <xdr:cNvGrpSpPr/>
      </xdr:nvGrpSpPr>
      <xdr:grpSpPr>
        <a:xfrm>
          <a:off x="249556" y="828675"/>
          <a:ext cx="45719" cy="257175"/>
          <a:chOff x="2327672" y="378599"/>
          <a:chExt cx="120730" cy="492001"/>
        </a:xfrm>
      </xdr:grpSpPr>
      <xdr:cxnSp macro="">
        <xdr:nvCxnSpPr>
          <xdr:cNvPr id="13" name="Straight Connector 16"/>
          <xdr:cNvCxnSpPr/>
        </xdr:nvCxnSpPr>
        <xdr:spPr>
          <a:xfrm flipH="1">
            <a:off x="2327672" y="378599"/>
            <a:ext cx="120730" cy="91202"/>
          </a:xfrm>
          <a:prstGeom prst="line">
            <a:avLst/>
          </a:prstGeom>
          <a:ln w="19050">
            <a:solidFill>
              <a:schemeClr val="accent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7"/>
          <xdr:cNvCxnSpPr/>
        </xdr:nvCxnSpPr>
        <xdr:spPr>
          <a:xfrm flipH="1">
            <a:off x="2327672" y="492602"/>
            <a:ext cx="120730" cy="91202"/>
          </a:xfrm>
          <a:prstGeom prst="line">
            <a:avLst/>
          </a:prstGeom>
          <a:ln w="19050">
            <a:solidFill>
              <a:schemeClr val="accent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5" name="Straight Connector 18"/>
          <xdr:cNvCxnSpPr/>
        </xdr:nvCxnSpPr>
        <xdr:spPr>
          <a:xfrm flipH="1">
            <a:off x="2327672" y="606605"/>
            <a:ext cx="120730" cy="91202"/>
          </a:xfrm>
          <a:prstGeom prst="line">
            <a:avLst/>
          </a:prstGeom>
          <a:ln w="19050">
            <a:solidFill>
              <a:schemeClr val="accent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6" name="Straight Connector 19"/>
          <xdr:cNvCxnSpPr/>
        </xdr:nvCxnSpPr>
        <xdr:spPr>
          <a:xfrm flipH="1">
            <a:off x="2327672" y="720608"/>
            <a:ext cx="120730" cy="91202"/>
          </a:xfrm>
          <a:prstGeom prst="line">
            <a:avLst/>
          </a:prstGeom>
          <a:ln w="19050">
            <a:solidFill>
              <a:schemeClr val="accent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接连接符 16"/>
          <xdr:cNvCxnSpPr/>
        </xdr:nvCxnSpPr>
        <xdr:spPr>
          <a:xfrm>
            <a:off x="2333625" y="381000"/>
            <a:ext cx="0" cy="489600"/>
          </a:xfrm>
          <a:prstGeom prst="line">
            <a:avLst/>
          </a:prstGeom>
          <a:ln w="19050"/>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98425</xdr:colOff>
      <xdr:row>8</xdr:row>
      <xdr:rowOff>150813</xdr:rowOff>
    </xdr:from>
    <xdr:to>
      <xdr:col>0</xdr:col>
      <xdr:colOff>355600</xdr:colOff>
      <xdr:row>9</xdr:row>
      <xdr:rowOff>186175</xdr:rowOff>
    </xdr:to>
    <xdr:pic>
      <xdr:nvPicPr>
        <xdr:cNvPr id="18" name="Deflection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425" y="1651001"/>
          <a:ext cx="257175" cy="237767"/>
        </a:xfrm>
        <a:prstGeom prst="rect">
          <a:avLst/>
        </a:prstGeom>
      </xdr:spPr>
    </xdr:pic>
    <xdr:clientData/>
  </xdr:twoCellAnchor>
  <xdr:twoCellAnchor editAs="oneCell">
    <xdr:from>
      <xdr:col>0</xdr:col>
      <xdr:colOff>106624</xdr:colOff>
      <xdr:row>23</xdr:row>
      <xdr:rowOff>5224</xdr:rowOff>
    </xdr:from>
    <xdr:to>
      <xdr:col>0</xdr:col>
      <xdr:colOff>426493</xdr:colOff>
      <xdr:row>23</xdr:row>
      <xdr:rowOff>161947</xdr:rowOff>
    </xdr:to>
    <xdr:pic>
      <xdr:nvPicPr>
        <xdr:cNvPr id="4" name="图片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6624" y="5073377"/>
          <a:ext cx="319869" cy="156723"/>
        </a:xfrm>
        <a:prstGeom prst="rect">
          <a:avLst/>
        </a:prstGeom>
      </xdr:spPr>
    </xdr:pic>
    <xdr:clientData/>
  </xdr:twoCellAnchor>
  <xdr:twoCellAnchor editAs="oneCell">
    <xdr:from>
      <xdr:col>0</xdr:col>
      <xdr:colOff>95249</xdr:colOff>
      <xdr:row>22</xdr:row>
      <xdr:rowOff>55562</xdr:rowOff>
    </xdr:from>
    <xdr:to>
      <xdr:col>0</xdr:col>
      <xdr:colOff>436563</xdr:colOff>
      <xdr:row>22</xdr:row>
      <xdr:rowOff>103187</xdr:rowOff>
    </xdr:to>
    <xdr:pic>
      <xdr:nvPicPr>
        <xdr:cNvPr id="5" name="图片 4"/>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5249" y="5016500"/>
          <a:ext cx="341314" cy="47625"/>
        </a:xfrm>
        <a:prstGeom prst="rect">
          <a:avLst/>
        </a:prstGeom>
        <a:ln>
          <a:solidFill>
            <a:sysClr val="windowText" lastClr="000000"/>
          </a:solidFill>
        </a:ln>
      </xdr:spPr>
    </xdr:pic>
    <xdr:clientData/>
  </xdr:twoCellAnchor>
  <xdr:twoCellAnchor editAs="oneCell">
    <xdr:from>
      <xdr:col>0</xdr:col>
      <xdr:colOff>55562</xdr:colOff>
      <xdr:row>7</xdr:row>
      <xdr:rowOff>7938</xdr:rowOff>
    </xdr:from>
    <xdr:to>
      <xdr:col>0</xdr:col>
      <xdr:colOff>478923</xdr:colOff>
      <xdr:row>7</xdr:row>
      <xdr:rowOff>110289</xdr:rowOff>
    </xdr:to>
    <xdr:pic>
      <xdr:nvPicPr>
        <xdr:cNvPr id="8" name="图片 7"/>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5562" y="1333501"/>
          <a:ext cx="423361" cy="102351"/>
        </a:xfrm>
        <a:prstGeom prst="rect">
          <a:avLst/>
        </a:prstGeom>
      </xdr:spPr>
    </xdr:pic>
    <xdr:clientData/>
  </xdr:twoCellAnchor>
  <xdr:twoCellAnchor editAs="oneCell">
    <xdr:from>
      <xdr:col>0</xdr:col>
      <xdr:colOff>47625</xdr:colOff>
      <xdr:row>6</xdr:row>
      <xdr:rowOff>31751</xdr:rowOff>
    </xdr:from>
    <xdr:to>
      <xdr:col>0</xdr:col>
      <xdr:colOff>436563</xdr:colOff>
      <xdr:row>6</xdr:row>
      <xdr:rowOff>134157</xdr:rowOff>
    </xdr:to>
    <xdr:pic>
      <xdr:nvPicPr>
        <xdr:cNvPr id="10" name="图片 9"/>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7625" y="1182689"/>
          <a:ext cx="388938" cy="102406"/>
        </a:xfrm>
        <a:prstGeom prst="rect">
          <a:avLst/>
        </a:prstGeom>
      </xdr:spPr>
    </xdr:pic>
    <xdr:clientData/>
  </xdr:twoCellAnchor>
  <xdr:twoCellAnchor editAs="oneCell">
    <xdr:from>
      <xdr:col>0</xdr:col>
      <xdr:colOff>71439</xdr:colOff>
      <xdr:row>29</xdr:row>
      <xdr:rowOff>142875</xdr:rowOff>
    </xdr:from>
    <xdr:to>
      <xdr:col>0</xdr:col>
      <xdr:colOff>381001</xdr:colOff>
      <xdr:row>31</xdr:row>
      <xdr:rowOff>71437</xdr:rowOff>
    </xdr:to>
    <xdr:pic>
      <xdr:nvPicPr>
        <xdr:cNvPr id="6" name="图片 5"/>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71439" y="5834063"/>
          <a:ext cx="309562" cy="3095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13</xdr:row>
      <xdr:rowOff>85725</xdr:rowOff>
    </xdr:from>
    <xdr:to>
      <xdr:col>7</xdr:col>
      <xdr:colOff>571501</xdr:colOff>
      <xdr:row>13</xdr:row>
      <xdr:rowOff>2857725</xdr:rowOff>
    </xdr:to>
    <xdr:graphicFrame macro="">
      <xdr:nvGraphicFramePr>
        <xdr:cNvPr id="3"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14</xdr:row>
      <xdr:rowOff>76200</xdr:rowOff>
    </xdr:from>
    <xdr:to>
      <xdr:col>7</xdr:col>
      <xdr:colOff>656167</xdr:colOff>
      <xdr:row>15</xdr:row>
      <xdr:rowOff>9526</xdr:rowOff>
    </xdr:to>
    <xdr:graphicFrame macro="">
      <xdr:nvGraphicFramePr>
        <xdr:cNvPr id="10"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132293</xdr:colOff>
      <xdr:row>15</xdr:row>
      <xdr:rowOff>341844</xdr:rowOff>
    </xdr:from>
    <xdr:to>
      <xdr:col>1</xdr:col>
      <xdr:colOff>242012</xdr:colOff>
      <xdr:row>15</xdr:row>
      <xdr:rowOff>835579</xdr:rowOff>
    </xdr:to>
    <xdr:pic>
      <xdr:nvPicPr>
        <xdr:cNvPr id="2" name="图片 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83243" y="8882594"/>
          <a:ext cx="109719" cy="493735"/>
        </a:xfrm>
        <a:prstGeom prst="rect">
          <a:avLst/>
        </a:prstGeom>
      </xdr:spPr>
    </xdr:pic>
    <xdr:clientData/>
  </xdr:twoCellAnchor>
  <xdr:twoCellAnchor editAs="oneCell">
    <xdr:from>
      <xdr:col>1</xdr:col>
      <xdr:colOff>495300</xdr:colOff>
      <xdr:row>14</xdr:row>
      <xdr:rowOff>2841625</xdr:rowOff>
    </xdr:from>
    <xdr:to>
      <xdr:col>2</xdr:col>
      <xdr:colOff>372322</xdr:colOff>
      <xdr:row>15</xdr:row>
      <xdr:rowOff>524079</xdr:rowOff>
    </xdr:to>
    <xdr:pic>
      <xdr:nvPicPr>
        <xdr:cNvPr id="4" name="图片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46250" y="8467725"/>
          <a:ext cx="480272" cy="597104"/>
        </a:xfrm>
        <a:prstGeom prst="rect">
          <a:avLst/>
        </a:prstGeom>
      </xdr:spPr>
    </xdr:pic>
    <xdr:clientData/>
  </xdr:twoCellAnchor>
  <xdr:twoCellAnchor editAs="oneCell">
    <xdr:from>
      <xdr:col>6</xdr:col>
      <xdr:colOff>38099</xdr:colOff>
      <xdr:row>15</xdr:row>
      <xdr:rowOff>509058</xdr:rowOff>
    </xdr:from>
    <xdr:to>
      <xdr:col>6</xdr:col>
      <xdr:colOff>367256</xdr:colOff>
      <xdr:row>15</xdr:row>
      <xdr:rowOff>704114</xdr:rowOff>
    </xdr:to>
    <xdr:pic>
      <xdr:nvPicPr>
        <xdr:cNvPr id="5" name="图片 4"/>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305299" y="9049808"/>
          <a:ext cx="329157" cy="195056"/>
        </a:xfrm>
        <a:prstGeom prst="rect">
          <a:avLst/>
        </a:prstGeom>
      </xdr:spPr>
    </xdr:pic>
    <xdr:clientData/>
  </xdr:twoCellAnchor>
  <xdr:twoCellAnchor editAs="oneCell">
    <xdr:from>
      <xdr:col>3</xdr:col>
      <xdr:colOff>520699</xdr:colOff>
      <xdr:row>15</xdr:row>
      <xdr:rowOff>458258</xdr:rowOff>
    </xdr:from>
    <xdr:to>
      <xdr:col>4</xdr:col>
      <xdr:colOff>320046</xdr:colOff>
      <xdr:row>16</xdr:row>
      <xdr:rowOff>94743</xdr:rowOff>
    </xdr:to>
    <xdr:pic>
      <xdr:nvPicPr>
        <xdr:cNvPr id="6" name="图片 5"/>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2978149" y="8999008"/>
          <a:ext cx="402597" cy="493735"/>
        </a:xfrm>
        <a:prstGeom prst="rect">
          <a:avLst/>
        </a:prstGeom>
      </xdr:spPr>
    </xdr:pic>
    <xdr:clientData/>
  </xdr:twoCellAnchor>
  <xdr:twoCellAnchor editAs="oneCell">
    <xdr:from>
      <xdr:col>5</xdr:col>
      <xdr:colOff>222250</xdr:colOff>
      <xdr:row>15</xdr:row>
      <xdr:rowOff>298449</xdr:rowOff>
    </xdr:from>
    <xdr:to>
      <xdr:col>5</xdr:col>
      <xdr:colOff>331969</xdr:colOff>
      <xdr:row>15</xdr:row>
      <xdr:rowOff>798280</xdr:rowOff>
    </xdr:to>
    <xdr:pic>
      <xdr:nvPicPr>
        <xdr:cNvPr id="8" name="图片 7"/>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886200" y="8839199"/>
          <a:ext cx="109719" cy="499831"/>
        </a:xfrm>
        <a:prstGeom prst="rect">
          <a:avLst/>
        </a:prstGeom>
      </xdr:spPr>
    </xdr:pic>
    <xdr:clientData/>
  </xdr:twoCellAnchor>
  <xdr:twoCellAnchor editAs="oneCell">
    <xdr:from>
      <xdr:col>7</xdr:col>
      <xdr:colOff>88902</xdr:colOff>
      <xdr:row>15</xdr:row>
      <xdr:rowOff>69854</xdr:rowOff>
    </xdr:from>
    <xdr:to>
      <xdr:col>7</xdr:col>
      <xdr:colOff>375416</xdr:colOff>
      <xdr:row>15</xdr:row>
      <xdr:rowOff>527054</xdr:rowOff>
    </xdr:to>
    <xdr:pic>
      <xdr:nvPicPr>
        <xdr:cNvPr id="7" name="Picture 6"/>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4959352" y="8610604"/>
          <a:ext cx="286514" cy="457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ivil.uwaterloo.ca/brodland/MechanicsModels/beamdeflectio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J14"/>
  <sheetViews>
    <sheetView zoomScale="110" zoomScaleNormal="110" workbookViewId="0"/>
  </sheetViews>
  <sheetFormatPr defaultColWidth="9" defaultRowHeight="15"/>
  <cols>
    <col min="1" max="1" width="2.140625" style="4" customWidth="1"/>
    <col min="2" max="9" width="9.5703125" style="4" customWidth="1"/>
    <col min="10" max="16384" width="9" style="4"/>
  </cols>
  <sheetData>
    <row r="1" spans="1:10" ht="18.75">
      <c r="B1" s="9" t="str">
        <f>IF(constants!$B$10="English",Language!B3,IF(constants!$B$10=Language!$G$1,Language!G3,IF(constants!$B$10=Language!$C$1,Language!C3,IF(constants!$B$10=Language!$D$1,Language!D3,IF(constants!$B$10=Language!$E$1,Language!E3,IF(constants!$B$10=Language!$F$1,Language!F3,IF(constants!$B$10=Language!$H$1,Language!H3,IF(constants!$B$10=Language!$I$1,Language!I3,IF(constants!$B$10=Language!$J$1,Language!J3,IF(constants!$B$10=Language!$K$1,Language!K3,IF(constants!$B$10=Language!$L$1,Language!L3,IF(constants!$B$10=Language!$M$1,Language!M3,IF(constants!$B$10=Language!$N$1,Language!N3,IF(constants!$B$10=Language!$O$1,Language!O3,IF(constants!$B$10=Language!$P$1,Language!P3,IF(constants!$B$10=Language!$Q$1,Language!Q3,IF(constants!$B$10=Language!$R$1,Language!R3," ")))))))))))))))))</f>
        <v>Beam Bending Spreadsheet</v>
      </c>
      <c r="E1" s="91"/>
      <c r="G1" s="92"/>
      <c r="H1" s="92" t="str">
        <f>IF(constants!$B$10="English",Language!B32,IF(constants!$B$10=Language!$G$1,Language!G32,IF(constants!$B$10=Language!$C$1,Language!C32,IF(constants!$B$10=Language!$D$1,Language!D32,IF(constants!$B$10=Language!$E$1,Language!E32,IF(constants!$B$10=Language!$F$1,Language!F32,IF(constants!$B$10=Language!$H$1,Language!H32,IF(constants!$B$10=Language!$I$1,Language!I32,IF(constants!$B$10=Language!$J$1,Language!J32,IF(constants!$B$10=Language!$K$1,Language!K32,IF(constants!$B$10=Language!$L$1,Language!L32,IF(constants!$B$10=Language!$M$1,Language!M32,IF(constants!$B$10=Language!$N$1,Language!N32,IF(constants!$B$10=Language!$O$1,Language!O32,IF(constants!$B$10=Language!$P$1,Language!P32,IF(constants!$B$10=Language!$Q$1,Language!Q32,IF(constants!$B$10=Language!$R$1,Language!R32," ")))))))))))))))))</f>
        <v>Language</v>
      </c>
      <c r="I1" s="85" t="s">
        <v>0</v>
      </c>
    </row>
    <row r="2" spans="1:10" ht="61.5" customHeight="1">
      <c r="A2" s="475"/>
      <c r="B2" s="475"/>
      <c r="C2" s="475"/>
      <c r="D2" s="475"/>
      <c r="E2" s="475"/>
      <c r="F2" s="475"/>
      <c r="G2" s="475"/>
      <c r="H2" s="475"/>
      <c r="I2" s="475"/>
      <c r="J2" s="475"/>
    </row>
    <row r="3" spans="1:10" ht="81" customHeight="1" thickBot="1">
      <c r="A3" s="475"/>
      <c r="B3" s="475"/>
      <c r="C3" s="475"/>
      <c r="D3" s="475"/>
      <c r="E3" s="475"/>
      <c r="F3" s="475"/>
      <c r="G3" s="475"/>
      <c r="H3" s="475"/>
      <c r="I3" s="475"/>
      <c r="J3" s="475"/>
    </row>
    <row r="4" spans="1:10">
      <c r="B4" s="484" t="s">
        <v>1</v>
      </c>
      <c r="C4" s="485"/>
      <c r="D4" s="486" t="s">
        <v>2</v>
      </c>
      <c r="E4" s="487"/>
      <c r="F4" s="488" t="s">
        <v>3</v>
      </c>
      <c r="G4" s="489"/>
      <c r="H4" s="490" t="s">
        <v>4</v>
      </c>
      <c r="I4" s="491"/>
    </row>
    <row r="5" spans="1:10">
      <c r="B5" s="476" t="s">
        <v>6</v>
      </c>
      <c r="C5" s="477"/>
      <c r="D5" s="478" t="s">
        <v>41</v>
      </c>
      <c r="E5" s="479"/>
      <c r="F5" s="480" t="s">
        <v>39</v>
      </c>
      <c r="G5" s="481"/>
      <c r="H5" s="482" t="s">
        <v>40</v>
      </c>
      <c r="I5" s="483"/>
    </row>
    <row r="6" spans="1:10" ht="17.100000000000001" customHeight="1">
      <c r="B6" s="417" t="s">
        <v>7</v>
      </c>
      <c r="C6" s="471">
        <v>0</v>
      </c>
      <c r="D6" s="277" t="s">
        <v>8</v>
      </c>
      <c r="E6" s="470">
        <v>1</v>
      </c>
      <c r="F6" s="420" t="s">
        <v>9</v>
      </c>
      <c r="G6" s="469">
        <v>2</v>
      </c>
      <c r="H6" s="422" t="s">
        <v>10</v>
      </c>
      <c r="I6" s="468">
        <v>4</v>
      </c>
    </row>
    <row r="7" spans="1:10" ht="17.100000000000001" customHeight="1">
      <c r="B7" s="417" t="str">
        <f>VLOOKUP(left_b,constants!A3:B7,2,FALSE)</f>
        <v xml:space="preserve"> </v>
      </c>
      <c r="C7" s="418"/>
      <c r="D7" s="277" t="str">
        <f>VLOOKUP(mid1_b,constants!A2:B5,2,FALSE)</f>
        <v>P =</v>
      </c>
      <c r="E7" s="419">
        <v>5</v>
      </c>
      <c r="F7" s="420" t="str">
        <f>VLOOKUP(mid2_b,constants!A2:B5,2,FALSE)</f>
        <v xml:space="preserve"> </v>
      </c>
      <c r="G7" s="421"/>
      <c r="H7" s="422" t="str">
        <f>VLOOKUP(right_b,constants!A3:B7,2,FALSE)</f>
        <v xml:space="preserve"> </v>
      </c>
      <c r="I7" s="436"/>
    </row>
    <row r="8" spans="1:10" ht="17.100000000000001" customHeight="1">
      <c r="B8" s="417" t="str">
        <f>VLOOKUP(left_b,constants!A3:D7,3,FALSE)</f>
        <v xml:space="preserve"> </v>
      </c>
      <c r="C8" s="418"/>
      <c r="D8" s="277" t="str">
        <f>VLOOKUP(mid1_b,constants!A2:D5,3,FALSE)</f>
        <v xml:space="preserve"> </v>
      </c>
      <c r="E8" s="419"/>
      <c r="F8" s="420" t="str">
        <f>VLOOKUP(mid2_b,constants!A2:D5,3,FALSE)</f>
        <v xml:space="preserve"> </v>
      </c>
      <c r="G8" s="421"/>
      <c r="H8" s="422" t="str">
        <f>VLOOKUP(right_b,constants!A3:D7,3,FALSE)</f>
        <v xml:space="preserve"> </v>
      </c>
      <c r="I8" s="436"/>
    </row>
    <row r="9" spans="1:10" ht="17.100000000000001" customHeight="1" thickBot="1">
      <c r="B9" s="437" t="str">
        <f>VLOOKUP(left_b,constants!A3:D7,4,FALSE)</f>
        <v xml:space="preserve"> </v>
      </c>
      <c r="C9" s="438" t="str">
        <f>IF(left_b=constants!A4,-(Main!C8-Main!C7)*2.54/100,"")</f>
        <v/>
      </c>
      <c r="D9" s="281" t="str">
        <f>VLOOKUP(mid1_b,constants!A2:D5,4,FALSE)</f>
        <v xml:space="preserve"> </v>
      </c>
      <c r="E9" s="439" t="str">
        <f>IF(mid1_b=constants!A4,-(Main!E8-Main!E7)*2.54/100,"")</f>
        <v/>
      </c>
      <c r="F9" s="296" t="str">
        <f>VLOOKUP(mid2_b,constants!A2:D5,4,FALSE)</f>
        <v xml:space="preserve"> </v>
      </c>
      <c r="G9" s="440" t="str">
        <f>IF(mid2_b=constants!A4,-(Main!G8-Main!G7)*2.54/100,"")</f>
        <v/>
      </c>
      <c r="H9" s="316" t="str">
        <f>VLOOKUP(right_b,constants!A3:D7,4,FALSE)</f>
        <v xml:space="preserve"> </v>
      </c>
      <c r="I9" s="441" t="str">
        <f>IF(right_b=constants!A4,-(Main!I8-Main!I7)*2.54/100,"")</f>
        <v/>
      </c>
    </row>
    <row r="10" spans="1:10" ht="230.1" customHeight="1">
      <c r="A10" s="475"/>
      <c r="B10" s="475"/>
      <c r="C10" s="475"/>
      <c r="D10" s="475"/>
      <c r="E10" s="475"/>
      <c r="F10" s="475"/>
      <c r="G10" s="475"/>
      <c r="H10" s="475"/>
      <c r="I10" s="475"/>
      <c r="J10" s="475"/>
    </row>
    <row r="11" spans="1:10" ht="230.1" customHeight="1">
      <c r="A11" s="475"/>
      <c r="B11" s="475"/>
      <c r="C11" s="475"/>
      <c r="D11" s="475"/>
      <c r="E11" s="475"/>
      <c r="F11" s="475"/>
      <c r="G11" s="475"/>
      <c r="H11" s="475"/>
      <c r="I11" s="475"/>
      <c r="J11" s="475"/>
    </row>
    <row r="12" spans="1:10" ht="230.1" customHeight="1">
      <c r="A12" s="475"/>
      <c r="B12" s="475"/>
      <c r="C12" s="475"/>
      <c r="D12" s="475"/>
      <c r="E12" s="475"/>
      <c r="F12" s="475"/>
      <c r="G12" s="475"/>
      <c r="H12" s="475"/>
      <c r="I12" s="475"/>
      <c r="J12" s="475"/>
    </row>
    <row r="13" spans="1:10" ht="230.1" customHeight="1">
      <c r="A13" s="475"/>
      <c r="B13" s="475"/>
      <c r="C13" s="475"/>
      <c r="D13" s="475"/>
      <c r="E13" s="475"/>
      <c r="F13" s="475"/>
      <c r="G13" s="475"/>
      <c r="H13" s="475"/>
      <c r="I13" s="475"/>
      <c r="J13" s="475"/>
    </row>
    <row r="14" spans="1:10" ht="230.1" customHeight="1">
      <c r="A14" s="475"/>
      <c r="B14" s="475"/>
      <c r="C14" s="475"/>
      <c r="D14" s="475"/>
      <c r="E14" s="475"/>
      <c r="F14" s="475"/>
      <c r="G14" s="475"/>
      <c r="H14" s="475"/>
      <c r="I14" s="475"/>
      <c r="J14" s="475"/>
    </row>
  </sheetData>
  <dataConsolidate/>
  <mergeCells count="14">
    <mergeCell ref="A2:J3"/>
    <mergeCell ref="B5:C5"/>
    <mergeCell ref="D5:E5"/>
    <mergeCell ref="F5:G5"/>
    <mergeCell ref="H5:I5"/>
    <mergeCell ref="B4:C4"/>
    <mergeCell ref="D4:E4"/>
    <mergeCell ref="F4:G4"/>
    <mergeCell ref="H4:I4"/>
    <mergeCell ref="A14:J14"/>
    <mergeCell ref="A10:J10"/>
    <mergeCell ref="A11:J11"/>
    <mergeCell ref="A12:J12"/>
    <mergeCell ref="A13:J13"/>
  </mergeCells>
  <phoneticPr fontId="10" type="noConversion"/>
  <dataValidations xWindow="143" yWindow="521" count="5">
    <dataValidation type="custom" allowBlank="1" showInputMessage="1" showErrorMessage="1" error="x2 should be greater than x1." promptTitle="Position of Point B" prompt="Point B is on the right side of Point A._x000a_Please input a value that is greater than X1." sqref="E6">
      <formula1>COUNTIF(E6:E6,"&gt;"&amp;C6)</formula1>
    </dataValidation>
    <dataValidation type="custom" errorStyle="warning" allowBlank="1" showInputMessage="1" showErrorMessage="1" error="x3 should be greater than x2." promptTitle="Position of Point C" prompt="Point C is on the right side of Point B._x000a_Please input a value that is greater than X2." sqref="G6">
      <formula1>COUNTIF(G6,"&gt;"&amp;E6)</formula1>
    </dataValidation>
    <dataValidation type="custom" allowBlank="1" showInputMessage="1" showErrorMessage="1" error="x4 should be greater than x3." promptTitle="Position of Point D" prompt="Point D is on the right side of Point C._x000a_Please input a value that is greater than X3." sqref="I6">
      <formula1>COUNTIF(I6,"&gt;"&amp;G6)</formula1>
    </dataValidation>
    <dataValidation type="custom" allowBlank="1" showInputMessage="1" showErrorMessage="1" error="x2 should be greater than x1." promptTitle="Position of Point A" prompt="Please input the distance from a reference point to the left end of the beam." sqref="C6">
      <formula1>COUNTIF(E6:E6,"&gt;"&amp;C6)</formula1>
    </dataValidation>
    <dataValidation errorStyle="warning" allowBlank="1" showErrorMessage="1" sqref="K5"/>
  </dataValidations>
  <pageMargins left="0.69930555555555596" right="0.69930555555555596"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xWindow="143" yWindow="521" count="9">
        <x14:dataValidation type="list" allowBlank="1" showInputMessage="1" prompt="Users may choose boundary condition at point A by clicking this cell and choose from drop down list.">
          <x14:formula1>
            <xm:f>constants!$A$3:$A$7</xm:f>
          </x14:formula1>
          <xm:sqref>B5:C5</xm:sqref>
        </x14:dataValidation>
        <x14:dataValidation type="list" allowBlank="1" showInputMessage="1" showErrorMessage="1" prompt="Users may choose boundary condition at point C by clicking this cell and choose from drop down list.">
          <x14:formula1>
            <xm:f>constants!$A$2:$A$5</xm:f>
          </x14:formula1>
          <xm:sqref>F5:G5</xm:sqref>
        </x14:dataValidation>
        <x14:dataValidation type="list" allowBlank="1" showInputMessage="1" showErrorMessage="1" prompt="Users may choose boundary condition at point D by clicking this cell and choose from drop down list.">
          <x14:formula1>
            <xm:f>constants!$A$3:$A$7</xm:f>
          </x14:formula1>
          <xm:sqref>H5:I5</xm:sqref>
        </x14:dataValidation>
        <x14:dataValidation type="list" allowBlank="1" showInputMessage="1" showErrorMessage="1" prompt="Users may choose boundary condition at point B by clicking this cell and choose from drop down list.">
          <x14:formula1>
            <xm:f>constants!$A$2:$A$5</xm:f>
          </x14:formula1>
          <xm:sqref>D5:E5</xm:sqref>
        </x14:dataValidation>
        <x14:dataValidation type="list" allowBlank="1" showInputMessage="1" showErrorMessage="1" prompt="Users may choose default language by clicking this cell and choose from drop down list.">
          <x14:formula1>
            <xm:f>Language!$B$1:$AG$1</xm:f>
          </x14:formula1>
          <xm:sqref>I1</xm:sqref>
        </x14:dataValidation>
        <x14:dataValidation type="custom" allowBlank="1" showInputMessage="1" showErrorMessage="1" error="More Constraints Needed.">
          <x14:formula1>
            <xm:f>COUNTIF(constants!E7,"&gt;="&amp;constants!E8)</xm:f>
          </x14:formula1>
          <xm:sqref>C7</xm:sqref>
        </x14:dataValidation>
        <x14:dataValidation type="custom" allowBlank="1" showInputMessage="1" showErrorMessage="1" error="More Constraints Needed.">
          <x14:formula1>
            <xm:f>COUNTIF(constants!E7,"&gt;="&amp;constants!E8)</xm:f>
          </x14:formula1>
          <xm:sqref>E7</xm:sqref>
        </x14:dataValidation>
        <x14:dataValidation type="custom" allowBlank="1" showInputMessage="1" showErrorMessage="1" error="More Constraints Needed.">
          <x14:formula1>
            <xm:f>COUNTIF(constants!E7,"&gt;="&amp;constants!E8)</xm:f>
          </x14:formula1>
          <xm:sqref>G7</xm:sqref>
        </x14:dataValidation>
        <x14:dataValidation type="custom" allowBlank="1" showInputMessage="1" showErrorMessage="1" error="More Constraints Needed">
          <x14:formula1>
            <xm:f>COUNTIF(constants!E7,"&gt;="&amp;constants!E8)</xm:f>
          </x14:formula1>
          <xm:sqref>I7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M67"/>
  <sheetViews>
    <sheetView zoomScale="130" zoomScaleNormal="130" workbookViewId="0"/>
  </sheetViews>
  <sheetFormatPr defaultColWidth="9" defaultRowHeight="15"/>
  <cols>
    <col min="1" max="1" width="1.28515625" style="4" customWidth="1"/>
    <col min="2" max="2" width="15.5703125" style="7" customWidth="1"/>
    <col min="3" max="9" width="15.5703125" style="4" customWidth="1"/>
    <col min="10" max="16384" width="9" style="4"/>
  </cols>
  <sheetData>
    <row r="1" spans="1:9" ht="19.5" thickBot="1">
      <c r="B1" s="89" t="str">
        <f>IF(constants!$B$10="English",Language!B22,IF(constants!$B$10=Language!$G$1,Language!G22,IF(constants!$B$10=Language!$C$1,Language!C22,IF(constants!$B$10=Language!$D$1,Language!D22,IF(constants!$B$10=Language!$E$1,Language!E22,IF(constants!$B$10=Language!$F$1,Language!F22,IF(constants!$B$10=Language!$H$1,Language!H22,IF(constants!$B$10=Language!$I$1,Language!I22,IF(constants!$B$10=Language!$J$1,Language!J22,IF(constants!$B$10=Language!$K$1,Language!K22,IF(constants!$B$10=Language!$L$1,Language!L22,IF(constants!$B$10=Language!$M$1,Language!M22,IF(constants!$B$10=Language!$N$1,Language!N22,IF(constants!$B$10=Language!$O$1,Language!O22,IF(constants!$B$10=Language!$P$1,Language!P22,IF(constants!$B$10=Language!$Q$1,Language!Q22,IF(constants!$B$10=Language!$R$1,Language!R22," ")))))))))))))))))</f>
        <v>Beam Properties</v>
      </c>
      <c r="C1" s="89"/>
      <c r="D1" s="5"/>
      <c r="E1" s="5"/>
      <c r="F1" s="5"/>
      <c r="G1" s="5"/>
      <c r="H1" s="5"/>
      <c r="I1" s="5"/>
    </row>
    <row r="2" spans="1:9" s="125" customFormat="1" ht="18" thickBot="1">
      <c r="A2" s="465"/>
      <c r="B2" s="103" t="str">
        <f>IF(constants!$B$10="English",Language!B23,IF(constants!$B$10=Language!$G$1,Language!G23,IF(constants!$B$10=Language!$C$1,Language!C23,IF(constants!$B$10=Language!$D$1,Language!D23,IF(constants!$B$10=Language!$E$1,Language!E23,IF(constants!$B$10=Language!$F$1,Language!F23,IF(constants!$B$10=Language!$H$1,Language!H23,IF(constants!$B$10=Language!$I$1,Language!I23,IF(constants!$B$10=Language!$J$1,Language!J23,IF(constants!$B$10=Language!$K$1,Language!K23,IF(constants!$B$10=Language!$L$1,Language!L23,IF(constants!$B$10=Language!$M$1,Language!M23,IF(constants!$B$10=Language!$N$1,Language!N23,IF(constants!$B$10=Language!$O$1,Language!O23,IF(constants!$B$10=Language!$P$1,Language!P23,IF(constants!$B$10=Language!$Q$1,Language!Q23,IF(constants!$B$10=Language!$R$1,Language!R23," ")))))))))))))))))</f>
        <v>Beam</v>
      </c>
      <c r="C2" s="8" t="str">
        <f>IF(constants!$B$10="English",Language!B24,IF(constants!$B$10=Language!$G$1,Language!G24,IF(constants!$B$10=Language!$C$1,Language!C24,IF(constants!$B$10=Language!$D$1,Language!D24,IF(constants!$B$10=Language!$E$1,Language!E24,IF(constants!$B$10=Language!$F$1,Language!F24,IF(constants!$B$10=Language!$H$1,Language!H24,IF(constants!$B$10=Language!$I$1,Language!I24,IF(constants!$B$10=Language!$J$1,Language!J24,IF(constants!$B$10=Language!$K$1,Language!K24,IF(constants!$B$10=Language!$L$1,Language!L24,IF(constants!$B$10=Language!$M$1,Language!M24,IF(constants!$B$10=Language!$N$1,Language!N24,IF(constants!$B$10=Language!$O$1,Language!O24,IF(constants!$B$10=Language!$P$1,Language!P24,IF(constants!$B$10=Language!$Q$1,Language!Q24,IF(constants!$B$10=Language!$R$1,Language!R24," ")))))))))))))))))</f>
        <v>Material</v>
      </c>
      <c r="D2" s="8" t="str">
        <f>IF(constants!$B$10="English",Language!B26,IF(constants!$B$10=Language!$G$1,Language!G26,IF(constants!$B$10=Language!$C$1,Language!C26,IF(constants!$B$10=Language!$D$1,Language!D26,IF(constants!$B$10=Language!$E$1,Language!E26,IF(constants!$B$10=Language!$F$1,Language!F26,IF(constants!$B$10=Language!$H$1,Language!H26,IF(constants!$B$10=Language!$I$1,Language!I26,IF(constants!$B$10=Language!$J$1,Language!J26,IF(constants!$B$10=Language!$K$1,Language!K26,IF(constants!$B$10=Language!$L$1,Language!L26,IF(constants!$B$10=Language!$M$1,Language!M26,IF(constants!$B$10=Language!$N$1,Language!N26,IF(constants!$B$10=Language!$O$1,Language!O26,IF(constants!$B$10=Language!$P$1,Language!P26,IF(constants!$B$10=Language!$Q$1,Language!Q26,IF(constants!$B$10=Language!$R$1,Language!R26," ")))))))))))))))))</f>
        <v>Thickness [mm]</v>
      </c>
      <c r="E2" s="8" t="str">
        <f>IF(constants!$B$10="English",Language!B25,IF(constants!$B$10=Language!$G$1,Language!G25,IF(constants!$B$10=Language!$C$1,Language!C25,IF(constants!$B$10=Language!$D$1,Language!D25,IF(constants!$B$10=Language!$E$1,Language!E25,IF(constants!$B$10=Language!$F$1,Language!F25,IF(constants!$B$10=Language!$H$1,Language!H25,IF(constants!$B$10=Language!$I$1,Language!I25,IF(constants!$B$10=Language!$J$1,Language!J25,IF(constants!$B$10=Language!$K$1,Language!K25,IF(constants!$B$10=Language!$L$1,Language!L25,IF(constants!$B$10=Language!$M$1,Language!M25,IF(constants!$B$10=Language!$N$1,Language!N25,IF(constants!$B$10=Language!$O$1,Language!O25,IF(constants!$B$10=Language!$P$1,Language!P25,IF(constants!$B$10=Language!$Q$1,Language!Q25,IF(constants!$B$10=Language!$R$1,Language!R25," ")))))))))))))))))</f>
        <v>Width [mm]</v>
      </c>
      <c r="F2" s="8" t="s">
        <v>18</v>
      </c>
      <c r="G2" s="8" t="s">
        <v>154</v>
      </c>
      <c r="H2" s="104" t="s">
        <v>155</v>
      </c>
      <c r="I2" s="5"/>
    </row>
    <row r="3" spans="1:9" s="93" customFormat="1">
      <c r="B3" s="100"/>
      <c r="C3" s="101" t="s">
        <v>210</v>
      </c>
      <c r="D3" s="101">
        <v>3</v>
      </c>
      <c r="E3" s="101">
        <v>42</v>
      </c>
      <c r="F3" s="101">
        <v>2.2999999999999998</v>
      </c>
      <c r="G3" s="101">
        <f>E3*D3^3/1000^4/12</f>
        <v>9.4499999999999997E-11</v>
      </c>
      <c r="H3" s="102">
        <f>F3*G3*10^9</f>
        <v>0.21734999999999999</v>
      </c>
    </row>
    <row r="4" spans="1:9" s="7" customFormat="1">
      <c r="B4" s="95"/>
      <c r="C4" s="94" t="s">
        <v>19</v>
      </c>
      <c r="D4" s="94">
        <v>3</v>
      </c>
      <c r="E4" s="94">
        <v>42</v>
      </c>
      <c r="F4" s="94">
        <v>4.5999999999999996</v>
      </c>
      <c r="G4" s="94">
        <f>E4*D4^3/1000^4/12</f>
        <v>9.4499999999999997E-11</v>
      </c>
      <c r="H4" s="102">
        <f t="shared" ref="H4:H5" si="0">F4*G4*10^9</f>
        <v>0.43469999999999998</v>
      </c>
    </row>
    <row r="5" spans="1:9" s="7" customFormat="1">
      <c r="B5" s="95"/>
      <c r="C5" s="94" t="s">
        <v>211</v>
      </c>
      <c r="D5" s="94">
        <v>4.5</v>
      </c>
      <c r="E5" s="94">
        <v>42</v>
      </c>
      <c r="F5" s="94">
        <v>2.2999999999999998</v>
      </c>
      <c r="G5" s="94">
        <f>E5*D5^3/1000^4/12</f>
        <v>3.1893750000000002E-10</v>
      </c>
      <c r="H5" s="102">
        <f t="shared" si="0"/>
        <v>0.73355624999999991</v>
      </c>
    </row>
    <row r="6" spans="1:9" s="7" customFormat="1">
      <c r="B6" s="95"/>
      <c r="C6" s="94"/>
      <c r="D6" s="94"/>
      <c r="E6" s="94"/>
      <c r="F6" s="94"/>
      <c r="G6" s="94"/>
      <c r="H6" s="96">
        <f t="shared" ref="H6:H7" si="1">G6*F6*10^9</f>
        <v>0</v>
      </c>
    </row>
    <row r="7" spans="1:9" s="7" customFormat="1" ht="15.75" thickBot="1">
      <c r="B7" s="97"/>
      <c r="C7" s="98"/>
      <c r="D7" s="98"/>
      <c r="E7" s="98"/>
      <c r="F7" s="98"/>
      <c r="G7" s="98"/>
      <c r="H7" s="99">
        <f t="shared" si="1"/>
        <v>0</v>
      </c>
    </row>
    <row r="10" spans="1:9" ht="18.75">
      <c r="B10" s="89" t="str">
        <f>IF(constants!$B$10="English",Language!B28,IF(constants!$B$10=Language!$G$1,Language!G28,IF(constants!$B$10=Language!$C$1,Language!C28,IF(constants!$B$10=Language!$D$1,Language!D28,IF(constants!$B$10=Language!$E$1,Language!E28,IF(constants!$B$10=Language!$F$1,Language!F28,IF(constants!$B$10=Language!$H$1,Language!H28,IF(constants!$B$10=Language!$I$1,Language!I28,IF(constants!$B$10=Language!$J$1,Language!J28,IF(constants!$B$10=Language!$K$1,Language!K28,IF(constants!$B$10=Language!$L$1,Language!L28,IF(constants!$B$10=Language!$M$1,Language!M28,IF(constants!$B$10=Language!$N$1,Language!N28,IF(constants!$B$10=Language!$O$1,Language!O28,IF(constants!$B$10=Language!$P$1,Language!P28,IF(constants!$B$10=Language!$Q$1,Language!Q28,IF(constants!$B$10=Language!$R$1,Language!R28," ")))))))))))))))))</f>
        <v>Positive Sign</v>
      </c>
      <c r="C10" s="89"/>
      <c r="D10" s="89"/>
      <c r="F10" s="5"/>
    </row>
    <row r="11" spans="1:9" s="359" customFormat="1" ht="18.95" customHeight="1">
      <c r="A11" s="465"/>
      <c r="B11" s="367" t="str">
        <f>IF(constants!$B$10="English",Language!B13,IF(constants!$B$10=Language!$G$1,Language!G13,IF(constants!$B$10=Language!$C$1,Language!C13,IF(constants!$B$10=Language!$D$1,Language!D13,IF(constants!$B$10=Language!$E$1,Language!E13,IF(constants!$B$10=Language!$F$1,Language!F13,IF(constants!$B$10=Language!$H$1,Language!H13,IF(constants!$B$10=Language!$I$1,Language!I13,IF(constants!$B$10=Language!$J$1,Language!J13,IF(constants!$B$10=Language!$K$1,Language!K13,IF(constants!$B$10=Language!$L$1,Language!L13,IF(constants!$B$10=Language!$M$1,Language!M13,IF(constants!$B$10=Language!$N$1,Language!N13,IF(constants!$B$10=Language!$O$1,Language!O13,IF(constants!$B$10=Language!$P$1,Language!P13,IF(constants!$B$10=Language!$Q$1,Language!Q13,IF(constants!$B$10=Language!$R$1,Language!R13," ")))))))))))))))))</f>
        <v>Deflection</v>
      </c>
      <c r="C11" s="367" t="str">
        <f>IF(constants!$B$10="English",Language!B14,IF(constants!$B$10=Language!$G$1,Language!G14,IF(constants!$B$10=Language!$C$1,Language!C14,IF(constants!$B$10=Language!$D$1,Language!D14,IF(constants!$B$10=Language!$E$1,Language!E14,IF(constants!$B$10=Language!$F$1,Language!F14,IF(constants!$B$10=Language!$H$1,Language!H14,IF(constants!$B$10=Language!$I$1,Language!I14,IF(constants!$B$10=Language!$J$1,Language!J14,IF(constants!$B$10=Language!$K$1,Language!K14,IF(constants!$B$10=Language!$L$1,Language!L14,IF(constants!$B$10=Language!$M$1,Language!M14,IF(constants!$B$10=Language!$N$1,Language!N14,IF(constants!$B$10=Language!$O$1,Language!O14,IF(constants!$B$10=Language!$P$1,Language!P14,IF(constants!$B$10=Language!$Q$1,Language!Q14,IF(constants!$B$10=Language!$R$1,Language!R14," ")))))))))))))))))</f>
        <v>Slope</v>
      </c>
      <c r="D11" s="367" t="str">
        <f>IF(constants!$B$10="English",Language!B15,IF(constants!$B$10=Language!$G$1,Language!G15,IF(constants!$B$10=Language!$C$1,Language!C15,IF(constants!$B$10=Language!$D$1,Language!D15,IF(constants!$B$10=Language!$E$1,Language!E15,IF(constants!$B$10=Language!$F$1,Language!F15,IF(constants!$B$10=Language!$H$1,Language!H15,IF(constants!$B$10=Language!$I$1,Language!I15,IF(constants!$B$10=Language!$J$1,Language!J15,IF(constants!$B$10=Language!$K$1,Language!K15,IF(constants!$B$10=Language!$L$1,Language!L15,IF(constants!$B$10=Language!$M$1,Language!M15,IF(constants!$B$10=Language!$N$1,Language!N15,IF(constants!$B$10=Language!$O$1,Language!O15,IF(constants!$B$10=Language!$P$1,Language!P15,IF(constants!$B$10=Language!$Q$1,Language!Q15,IF(constants!$B$10=Language!$R$1,Language!R15," ")))))))))))))))))</f>
        <v>Curvature</v>
      </c>
      <c r="E11" s="368" t="str">
        <f>IF(constants!$B$10="English",Language!B16,IF(constants!$B$10=Language!$G$1,Language!G16,IF(constants!$B$10=Language!$C$1,Language!C16,IF(constants!$B$10=Language!$D$1,Language!D16,IF(constants!$B$10=Language!$E$1,Language!E16,IF(constants!$B$10=Language!$F$1,Language!F16,IF(constants!$B$10=Language!$H$1,Language!H16,IF(constants!$B$10=Language!$I$1,Language!I16,IF(constants!$B$10=Language!$J$1,Language!J16,IF(constants!$B$10=Language!$K$1,Language!K16,IF(constants!$B$10=Language!$L$1,Language!L16,IF(constants!$B$10=Language!$M$1,Language!M16,IF(constants!$B$10=Language!$N$1,Language!N16,IF(constants!$B$10=Language!$O$1,Language!O16,IF(constants!$B$10=Language!$P$1,Language!P16,IF(constants!$B$10=Language!$Q$1,Language!Q16,IF(constants!$B$10=Language!$R$1,Language!R16," ")))))))))))))))))</f>
        <v>Moment</v>
      </c>
      <c r="F11" s="367" t="str">
        <f>IF(constants!$B$10="English",Language!B17,IF(constants!$B$10=Language!$G$1,Language!G17,IF(constants!$B$10=Language!$C$1,Language!C17,IF(constants!$B$10=Language!$D$1,Language!D17,IF(constants!$B$10=Language!$E$1,Language!E17,IF(constants!$B$10=Language!$F$1,Language!F17,IF(constants!$B$10=Language!$H$1,Language!H17,IF(constants!$B$10=Language!$I$1,Language!I17,IF(constants!$B$10=Language!$J$1,Language!J17,IF(constants!$B$10=Language!$K$1,Language!K17,IF(constants!$B$10=Language!$L$1,Language!L17,IF(constants!$B$10=Language!$M$1,Language!M17,IF(constants!$B$10=Language!$N$1,Language!N17,IF(constants!$B$10=Language!$O$1,Language!O17,IF(constants!$B$10=Language!$P$1,Language!P17,IF(constants!$B$10=Language!$Q$1,Language!Q17,IF(constants!$B$10=Language!$R$1,Language!R17," ")))))))))))))))))</f>
        <v>Shear</v>
      </c>
      <c r="G11" s="367" t="str">
        <f>IF(constants!$B$10="English",Language!B18,IF(constants!$B$10=Language!$G$1,Language!G18,IF(constants!$B$10=Language!$C$1,Language!C18,IF(constants!$B$10=Language!$D$1,Language!D18,IF(constants!$B$10=Language!$E$1,Language!E18,IF(constants!$B$10=Language!$F$1,Language!F18,IF(constants!$B$10=Language!$H$1,Language!H18,IF(constants!$B$10=Language!$I$1,Language!I18,IF(constants!$B$10=Language!$J$1,Language!J18,IF(constants!$B$10=Language!$K$1,Language!K18,IF(constants!$B$10=Language!$L$1,Language!L18,IF(constants!$B$10=Language!$M$1,Language!M18,IF(constants!$B$10=Language!$N$1,Language!N18,IF(constants!$B$10=Language!$O$1,Language!O18,IF(constants!$B$10=Language!$P$1,Language!P18,IF(constants!$B$10=Language!$Q$1,Language!Q18,IF(constants!$B$10=Language!$R$1,Language!R18," ")))))))))))))))))</f>
        <v>Load</v>
      </c>
    </row>
    <row r="12" spans="1:9" ht="18.95" customHeight="1">
      <c r="B12" s="93"/>
      <c r="C12" s="365"/>
      <c r="D12" s="93"/>
      <c r="E12" s="93"/>
      <c r="F12" s="93"/>
      <c r="G12" s="93"/>
    </row>
    <row r="13" spans="1:9" ht="18.95" customHeight="1">
      <c r="B13" s="93"/>
      <c r="C13" s="365"/>
      <c r="D13" s="93"/>
      <c r="E13" s="93"/>
      <c r="F13" s="93"/>
      <c r="G13" s="93"/>
    </row>
    <row r="14" spans="1:9" ht="18.95" customHeight="1">
      <c r="B14" s="93"/>
      <c r="C14" s="366"/>
      <c r="D14" s="93"/>
      <c r="E14" s="93"/>
      <c r="F14" s="7"/>
      <c r="G14" s="7"/>
    </row>
    <row r="15" spans="1:9" ht="18.95" customHeight="1">
      <c r="B15" s="93"/>
      <c r="C15" s="365"/>
      <c r="D15" s="93"/>
      <c r="E15" s="93"/>
      <c r="F15" s="7"/>
    </row>
    <row r="16" spans="1:9" ht="18.95" customHeight="1">
      <c r="B16" s="369" t="str">
        <f>IF(constants!$B$10="English",Language!B11,IF(constants!$B$10=Language!$G$1,Language!G11,IF(constants!$B$10=Language!$C$1,Language!C11,IF(constants!$B$10=Language!$D$1,Language!D11,IF(constants!$B$10=Language!$E$1,Language!E11,IF(constants!$B$10=Language!$F$1,Language!F11,IF(constants!$B$10=Language!$H$1,Language!H11,IF(constants!$B$10=Language!$I$1,Language!I11,IF(constants!$B$10=Language!$J$1,Language!J11,IF(constants!$B$10=Language!$K$1,Language!K11,IF(constants!$B$10=Language!$L$1,Language!L11,IF(constants!$B$10=Language!$M$1,Language!M11,IF(constants!$B$10=Language!$N$1,Language!N11,IF(constants!$B$10=Language!$O$1,Language!O11,IF(constants!$B$10=Language!$P$1,Language!P11,IF(constants!$B$10=Language!$Q$1,Language!Q11,IF(constants!$B$10=Language!$R$1,Language!R11," ")))))))))))))))))</f>
        <v>Plotting</v>
      </c>
      <c r="E16" s="93"/>
      <c r="F16" s="7"/>
      <c r="G16" s="7"/>
    </row>
    <row r="17" spans="2:5">
      <c r="B17" s="370"/>
      <c r="C17" s="5"/>
      <c r="D17" s="5"/>
      <c r="E17" s="5"/>
    </row>
    <row r="18" spans="2:5">
      <c r="B18" s="492" t="str">
        <f>'Plotting Data'!E2</f>
        <v>Curvature</v>
      </c>
      <c r="C18" s="492"/>
      <c r="D18" s="475" t="str">
        <f>'Plotting Data'!F2</f>
        <v>Moment</v>
      </c>
      <c r="E18" s="475"/>
    </row>
    <row r="67" spans="13:13">
      <c r="M67" s="4" t="str">
        <f>Properties!$F$11</f>
        <v>Shear</v>
      </c>
    </row>
  </sheetData>
  <dataConsolidate/>
  <mergeCells count="2">
    <mergeCell ref="B18:C18"/>
    <mergeCell ref="D18:E18"/>
  </mergeCells>
  <phoneticPr fontId="10" type="noConversion"/>
  <dataValidations count="1">
    <dataValidation allowBlank="1" showErrorMessage="1" sqref="B17"/>
  </dataValidations>
  <pageMargins left="0.69930555555555596" right="0.69930555555555596"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91" r:id="rId4" name="Option Button 23">
              <controlPr defaultSize="0" autoFill="0" autoLine="0" autoPict="0">
                <anchor moveWithCells="1">
                  <from>
                    <xdr:col>1</xdr:col>
                    <xdr:colOff>66675</xdr:colOff>
                    <xdr:row>2</xdr:row>
                    <xdr:rowOff>19050</xdr:rowOff>
                  </from>
                  <to>
                    <xdr:col>1</xdr:col>
                    <xdr:colOff>1038225</xdr:colOff>
                    <xdr:row>3</xdr:row>
                    <xdr:rowOff>38100</xdr:rowOff>
                  </to>
                </anchor>
              </controlPr>
            </control>
          </mc:Choice>
        </mc:AlternateContent>
        <mc:AlternateContent xmlns:mc="http://schemas.openxmlformats.org/markup-compatibility/2006">
          <mc:Choice Requires="x14">
            <control shapeId="7192" r:id="rId5" name="Option Button 24">
              <controlPr defaultSize="0" autoFill="0" autoLine="0" autoPict="0" altText="White Dot">
                <anchor moveWithCells="1">
                  <from>
                    <xdr:col>1</xdr:col>
                    <xdr:colOff>66675</xdr:colOff>
                    <xdr:row>3</xdr:row>
                    <xdr:rowOff>19050</xdr:rowOff>
                  </from>
                  <to>
                    <xdr:col>1</xdr:col>
                    <xdr:colOff>1038225</xdr:colOff>
                    <xdr:row>4</xdr:row>
                    <xdr:rowOff>38100</xdr:rowOff>
                  </to>
                </anchor>
              </controlPr>
            </control>
          </mc:Choice>
        </mc:AlternateContent>
        <mc:AlternateContent xmlns:mc="http://schemas.openxmlformats.org/markup-compatibility/2006">
          <mc:Choice Requires="x14">
            <control shapeId="7193" r:id="rId6" name="Option Button 25">
              <controlPr defaultSize="0" autoFill="0" autoLine="0" autoPict="0">
                <anchor moveWithCells="1">
                  <from>
                    <xdr:col>1</xdr:col>
                    <xdr:colOff>66675</xdr:colOff>
                    <xdr:row>4</xdr:row>
                    <xdr:rowOff>19050</xdr:rowOff>
                  </from>
                  <to>
                    <xdr:col>1</xdr:col>
                    <xdr:colOff>1038225</xdr:colOff>
                    <xdr:row>5</xdr:row>
                    <xdr:rowOff>38100</xdr:rowOff>
                  </to>
                </anchor>
              </controlPr>
            </control>
          </mc:Choice>
        </mc:AlternateContent>
        <mc:AlternateContent xmlns:mc="http://schemas.openxmlformats.org/markup-compatibility/2006">
          <mc:Choice Requires="x14">
            <control shapeId="7195" r:id="rId7" name="Option Button 27">
              <controlPr defaultSize="0" autoFill="0" autoLine="0" autoPict="0">
                <anchor moveWithCells="1">
                  <from>
                    <xdr:col>1</xdr:col>
                    <xdr:colOff>66675</xdr:colOff>
                    <xdr:row>5</xdr:row>
                    <xdr:rowOff>19050</xdr:rowOff>
                  </from>
                  <to>
                    <xdr:col>1</xdr:col>
                    <xdr:colOff>1038225</xdr:colOff>
                    <xdr:row>6</xdr:row>
                    <xdr:rowOff>38100</xdr:rowOff>
                  </to>
                </anchor>
              </controlPr>
            </control>
          </mc:Choice>
        </mc:AlternateContent>
        <mc:AlternateContent xmlns:mc="http://schemas.openxmlformats.org/markup-compatibility/2006">
          <mc:Choice Requires="x14">
            <control shapeId="7196" r:id="rId8" name="Option Button 28">
              <controlPr defaultSize="0" autoFill="0" autoLine="0" autoPict="0">
                <anchor moveWithCells="1">
                  <from>
                    <xdr:col>1</xdr:col>
                    <xdr:colOff>66675</xdr:colOff>
                    <xdr:row>6</xdr:row>
                    <xdr:rowOff>19050</xdr:rowOff>
                  </from>
                  <to>
                    <xdr:col>1</xdr:col>
                    <xdr:colOff>1038225</xdr:colOff>
                    <xdr:row>7</xdr:row>
                    <xdr:rowOff>28575</xdr:rowOff>
                  </to>
                </anchor>
              </controlPr>
            </control>
          </mc:Choice>
        </mc:AlternateContent>
        <mc:AlternateContent xmlns:mc="http://schemas.openxmlformats.org/markup-compatibility/2006">
          <mc:Choice Requires="x14">
            <control shapeId="7202" r:id="rId9" name="Group Box 34">
              <controlPr defaultSize="0" autoFill="0" autoPict="0">
                <anchor moveWithCells="1">
                  <from>
                    <xdr:col>1</xdr:col>
                    <xdr:colOff>19050</xdr:colOff>
                    <xdr:row>10</xdr:row>
                    <xdr:rowOff>38100</xdr:rowOff>
                  </from>
                  <to>
                    <xdr:col>1</xdr:col>
                    <xdr:colOff>1181100</xdr:colOff>
                    <xdr:row>13</xdr:row>
                    <xdr:rowOff>0</xdr:rowOff>
                  </to>
                </anchor>
              </controlPr>
            </control>
          </mc:Choice>
        </mc:AlternateContent>
        <mc:AlternateContent xmlns:mc="http://schemas.openxmlformats.org/markup-compatibility/2006">
          <mc:Choice Requires="x14">
            <control shapeId="7206" r:id="rId10" name="Option Button 38">
              <controlPr defaultSize="0" autoFill="0" autoLine="0" autoPict="0">
                <anchor moveWithCells="1">
                  <from>
                    <xdr:col>1</xdr:col>
                    <xdr:colOff>266700</xdr:colOff>
                    <xdr:row>10</xdr:row>
                    <xdr:rowOff>228600</xdr:rowOff>
                  </from>
                  <to>
                    <xdr:col>1</xdr:col>
                    <xdr:colOff>914400</xdr:colOff>
                    <xdr:row>11</xdr:row>
                    <xdr:rowOff>190500</xdr:rowOff>
                  </to>
                </anchor>
              </controlPr>
            </control>
          </mc:Choice>
        </mc:AlternateContent>
        <mc:AlternateContent xmlns:mc="http://schemas.openxmlformats.org/markup-compatibility/2006">
          <mc:Choice Requires="x14">
            <control shapeId="7207" r:id="rId11" name="Option Button 39">
              <controlPr defaultSize="0" autoFill="0" autoLine="0" autoPict="0">
                <anchor moveWithCells="1">
                  <from>
                    <xdr:col>1</xdr:col>
                    <xdr:colOff>266700</xdr:colOff>
                    <xdr:row>12</xdr:row>
                    <xdr:rowOff>28575</xdr:rowOff>
                  </from>
                  <to>
                    <xdr:col>1</xdr:col>
                    <xdr:colOff>933450</xdr:colOff>
                    <xdr:row>12</xdr:row>
                    <xdr:rowOff>190500</xdr:rowOff>
                  </to>
                </anchor>
              </controlPr>
            </control>
          </mc:Choice>
        </mc:AlternateContent>
        <mc:AlternateContent xmlns:mc="http://schemas.openxmlformats.org/markup-compatibility/2006">
          <mc:Choice Requires="x14">
            <control shapeId="7211" r:id="rId12" name="Group Box 43">
              <controlPr defaultSize="0" autoFill="0" autoPict="0">
                <anchor moveWithCells="1">
                  <from>
                    <xdr:col>2</xdr:col>
                    <xdr:colOff>19050</xdr:colOff>
                    <xdr:row>10</xdr:row>
                    <xdr:rowOff>38100</xdr:rowOff>
                  </from>
                  <to>
                    <xdr:col>2</xdr:col>
                    <xdr:colOff>1181100</xdr:colOff>
                    <xdr:row>13</xdr:row>
                    <xdr:rowOff>0</xdr:rowOff>
                  </to>
                </anchor>
              </controlPr>
            </control>
          </mc:Choice>
        </mc:AlternateContent>
        <mc:AlternateContent xmlns:mc="http://schemas.openxmlformats.org/markup-compatibility/2006">
          <mc:Choice Requires="x14">
            <control shapeId="7212" r:id="rId13" name="Option Button 44">
              <controlPr defaultSize="0" autoFill="0" autoLine="0" autoPict="0">
                <anchor moveWithCells="1">
                  <from>
                    <xdr:col>2</xdr:col>
                    <xdr:colOff>285750</xdr:colOff>
                    <xdr:row>11</xdr:row>
                    <xdr:rowOff>9525</xdr:rowOff>
                  </from>
                  <to>
                    <xdr:col>2</xdr:col>
                    <xdr:colOff>1047750</xdr:colOff>
                    <xdr:row>11</xdr:row>
                    <xdr:rowOff>209550</xdr:rowOff>
                  </to>
                </anchor>
              </controlPr>
            </control>
          </mc:Choice>
        </mc:AlternateContent>
        <mc:AlternateContent xmlns:mc="http://schemas.openxmlformats.org/markup-compatibility/2006">
          <mc:Choice Requires="x14">
            <control shapeId="7213" r:id="rId14" name="Option Button 45">
              <controlPr defaultSize="0" autoFill="0" autoLine="0" autoPict="0">
                <anchor moveWithCells="1">
                  <from>
                    <xdr:col>2</xdr:col>
                    <xdr:colOff>285750</xdr:colOff>
                    <xdr:row>12</xdr:row>
                    <xdr:rowOff>28575</xdr:rowOff>
                  </from>
                  <to>
                    <xdr:col>2</xdr:col>
                    <xdr:colOff>981075</xdr:colOff>
                    <xdr:row>12</xdr:row>
                    <xdr:rowOff>180975</xdr:rowOff>
                  </to>
                </anchor>
              </controlPr>
            </control>
          </mc:Choice>
        </mc:AlternateContent>
        <mc:AlternateContent xmlns:mc="http://schemas.openxmlformats.org/markup-compatibility/2006">
          <mc:Choice Requires="x14">
            <control shapeId="7217" r:id="rId15" name="Group Box 49">
              <controlPr defaultSize="0" autoFill="0" autoPict="0">
                <anchor moveWithCells="1">
                  <from>
                    <xdr:col>3</xdr:col>
                    <xdr:colOff>19050</xdr:colOff>
                    <xdr:row>10</xdr:row>
                    <xdr:rowOff>38100</xdr:rowOff>
                  </from>
                  <to>
                    <xdr:col>3</xdr:col>
                    <xdr:colOff>1181100</xdr:colOff>
                    <xdr:row>13</xdr:row>
                    <xdr:rowOff>0</xdr:rowOff>
                  </to>
                </anchor>
              </controlPr>
            </control>
          </mc:Choice>
        </mc:AlternateContent>
        <mc:AlternateContent xmlns:mc="http://schemas.openxmlformats.org/markup-compatibility/2006">
          <mc:Choice Requires="x14">
            <control shapeId="7218" r:id="rId16" name="Option Button 50">
              <controlPr defaultSize="0" autoFill="0" autoLine="0" autoPict="0">
                <anchor moveWithCells="1">
                  <from>
                    <xdr:col>3</xdr:col>
                    <xdr:colOff>295275</xdr:colOff>
                    <xdr:row>11</xdr:row>
                    <xdr:rowOff>19050</xdr:rowOff>
                  </from>
                  <to>
                    <xdr:col>3</xdr:col>
                    <xdr:colOff>942975</xdr:colOff>
                    <xdr:row>11</xdr:row>
                    <xdr:rowOff>200025</xdr:rowOff>
                  </to>
                </anchor>
              </controlPr>
            </control>
          </mc:Choice>
        </mc:AlternateContent>
        <mc:AlternateContent xmlns:mc="http://schemas.openxmlformats.org/markup-compatibility/2006">
          <mc:Choice Requires="x14">
            <control shapeId="7219" r:id="rId17" name="Option Button 51">
              <controlPr defaultSize="0" autoFill="0" autoLine="0" autoPict="0">
                <anchor moveWithCells="1">
                  <from>
                    <xdr:col>3</xdr:col>
                    <xdr:colOff>295275</xdr:colOff>
                    <xdr:row>12</xdr:row>
                    <xdr:rowOff>38100</xdr:rowOff>
                  </from>
                  <to>
                    <xdr:col>3</xdr:col>
                    <xdr:colOff>866775</xdr:colOff>
                    <xdr:row>12</xdr:row>
                    <xdr:rowOff>200025</xdr:rowOff>
                  </to>
                </anchor>
              </controlPr>
            </control>
          </mc:Choice>
        </mc:AlternateContent>
        <mc:AlternateContent xmlns:mc="http://schemas.openxmlformats.org/markup-compatibility/2006">
          <mc:Choice Requires="x14">
            <control shapeId="7220" r:id="rId18" name="Group Box 52">
              <controlPr defaultSize="0" autoFill="0" autoPict="0">
                <anchor moveWithCells="1">
                  <from>
                    <xdr:col>4</xdr:col>
                    <xdr:colOff>28575</xdr:colOff>
                    <xdr:row>10</xdr:row>
                    <xdr:rowOff>38100</xdr:rowOff>
                  </from>
                  <to>
                    <xdr:col>5</xdr:col>
                    <xdr:colOff>0</xdr:colOff>
                    <xdr:row>13</xdr:row>
                    <xdr:rowOff>0</xdr:rowOff>
                  </to>
                </anchor>
              </controlPr>
            </control>
          </mc:Choice>
        </mc:AlternateContent>
        <mc:AlternateContent xmlns:mc="http://schemas.openxmlformats.org/markup-compatibility/2006">
          <mc:Choice Requires="x14">
            <control shapeId="7221" r:id="rId19" name="Option Button 53">
              <controlPr defaultSize="0" autoFill="0" autoLine="0" autoPict="0">
                <anchor moveWithCells="1">
                  <from>
                    <xdr:col>4</xdr:col>
                    <xdr:colOff>304800</xdr:colOff>
                    <xdr:row>11</xdr:row>
                    <xdr:rowOff>9525</xdr:rowOff>
                  </from>
                  <to>
                    <xdr:col>4</xdr:col>
                    <xdr:colOff>1009650</xdr:colOff>
                    <xdr:row>11</xdr:row>
                    <xdr:rowOff>228600</xdr:rowOff>
                  </to>
                </anchor>
              </controlPr>
            </control>
          </mc:Choice>
        </mc:AlternateContent>
        <mc:AlternateContent xmlns:mc="http://schemas.openxmlformats.org/markup-compatibility/2006">
          <mc:Choice Requires="x14">
            <control shapeId="7222" r:id="rId20" name="Option Button 54">
              <controlPr defaultSize="0" autoFill="0" autoLine="0" autoPict="0">
                <anchor moveWithCells="1">
                  <from>
                    <xdr:col>4</xdr:col>
                    <xdr:colOff>304800</xdr:colOff>
                    <xdr:row>12</xdr:row>
                    <xdr:rowOff>38100</xdr:rowOff>
                  </from>
                  <to>
                    <xdr:col>4</xdr:col>
                    <xdr:colOff>981075</xdr:colOff>
                    <xdr:row>12</xdr:row>
                    <xdr:rowOff>200025</xdr:rowOff>
                  </to>
                </anchor>
              </controlPr>
            </control>
          </mc:Choice>
        </mc:AlternateContent>
        <mc:AlternateContent xmlns:mc="http://schemas.openxmlformats.org/markup-compatibility/2006">
          <mc:Choice Requires="x14">
            <control shapeId="7226" r:id="rId21" name="Group Box 58">
              <controlPr defaultSize="0" autoFill="0" autoPict="0">
                <anchor moveWithCells="1">
                  <from>
                    <xdr:col>5</xdr:col>
                    <xdr:colOff>28575</xdr:colOff>
                    <xdr:row>10</xdr:row>
                    <xdr:rowOff>38100</xdr:rowOff>
                  </from>
                  <to>
                    <xdr:col>6</xdr:col>
                    <xdr:colOff>0</xdr:colOff>
                    <xdr:row>13</xdr:row>
                    <xdr:rowOff>9525</xdr:rowOff>
                  </to>
                </anchor>
              </controlPr>
            </control>
          </mc:Choice>
        </mc:AlternateContent>
        <mc:AlternateContent xmlns:mc="http://schemas.openxmlformats.org/markup-compatibility/2006">
          <mc:Choice Requires="x14">
            <control shapeId="7227" r:id="rId22" name="Option Button 59">
              <controlPr defaultSize="0" autoFill="0" autoLine="0" autoPict="0">
                <anchor moveWithCells="1">
                  <from>
                    <xdr:col>5</xdr:col>
                    <xdr:colOff>285750</xdr:colOff>
                    <xdr:row>11</xdr:row>
                    <xdr:rowOff>38100</xdr:rowOff>
                  </from>
                  <to>
                    <xdr:col>5</xdr:col>
                    <xdr:colOff>1038225</xdr:colOff>
                    <xdr:row>11</xdr:row>
                    <xdr:rowOff>228600</xdr:rowOff>
                  </to>
                </anchor>
              </controlPr>
            </control>
          </mc:Choice>
        </mc:AlternateContent>
        <mc:AlternateContent xmlns:mc="http://schemas.openxmlformats.org/markup-compatibility/2006">
          <mc:Choice Requires="x14">
            <control shapeId="7228" r:id="rId23" name="Option Button 60">
              <controlPr defaultSize="0" autoFill="0" autoLine="0" autoPict="0">
                <anchor moveWithCells="1">
                  <from>
                    <xdr:col>5</xdr:col>
                    <xdr:colOff>285750</xdr:colOff>
                    <xdr:row>12</xdr:row>
                    <xdr:rowOff>57150</xdr:rowOff>
                  </from>
                  <to>
                    <xdr:col>5</xdr:col>
                    <xdr:colOff>990600</xdr:colOff>
                    <xdr:row>12</xdr:row>
                    <xdr:rowOff>200025</xdr:rowOff>
                  </to>
                </anchor>
              </controlPr>
            </control>
          </mc:Choice>
        </mc:AlternateContent>
        <mc:AlternateContent xmlns:mc="http://schemas.openxmlformats.org/markup-compatibility/2006">
          <mc:Choice Requires="x14">
            <control shapeId="7232" r:id="rId24" name="Group Box 64">
              <controlPr defaultSize="0" autoFill="0" autoPict="0">
                <anchor moveWithCells="1">
                  <from>
                    <xdr:col>6</xdr:col>
                    <xdr:colOff>28575</xdr:colOff>
                    <xdr:row>10</xdr:row>
                    <xdr:rowOff>38100</xdr:rowOff>
                  </from>
                  <to>
                    <xdr:col>7</xdr:col>
                    <xdr:colOff>0</xdr:colOff>
                    <xdr:row>13</xdr:row>
                    <xdr:rowOff>0</xdr:rowOff>
                  </to>
                </anchor>
              </controlPr>
            </control>
          </mc:Choice>
        </mc:AlternateContent>
        <mc:AlternateContent xmlns:mc="http://schemas.openxmlformats.org/markup-compatibility/2006">
          <mc:Choice Requires="x14">
            <control shapeId="7233" r:id="rId25" name="Option Button 65">
              <controlPr defaultSize="0" autoFill="0" autoLine="0" autoPict="0">
                <anchor moveWithCells="1">
                  <from>
                    <xdr:col>6</xdr:col>
                    <xdr:colOff>314325</xdr:colOff>
                    <xdr:row>11</xdr:row>
                    <xdr:rowOff>28575</xdr:rowOff>
                  </from>
                  <to>
                    <xdr:col>6</xdr:col>
                    <xdr:colOff>1028700</xdr:colOff>
                    <xdr:row>11</xdr:row>
                    <xdr:rowOff>219075</xdr:rowOff>
                  </to>
                </anchor>
              </controlPr>
            </control>
          </mc:Choice>
        </mc:AlternateContent>
        <mc:AlternateContent xmlns:mc="http://schemas.openxmlformats.org/markup-compatibility/2006">
          <mc:Choice Requires="x14">
            <control shapeId="7234" r:id="rId26" name="Option Button 66">
              <controlPr defaultSize="0" autoFill="0" autoLine="0" autoPict="0">
                <anchor moveWithCells="1">
                  <from>
                    <xdr:col>6</xdr:col>
                    <xdr:colOff>304800</xdr:colOff>
                    <xdr:row>12</xdr:row>
                    <xdr:rowOff>38100</xdr:rowOff>
                  </from>
                  <to>
                    <xdr:col>6</xdr:col>
                    <xdr:colOff>942975</xdr:colOff>
                    <xdr:row>12</xdr:row>
                    <xdr:rowOff>190500</xdr:rowOff>
                  </to>
                </anchor>
              </controlPr>
            </control>
          </mc:Choice>
        </mc:AlternateContent>
        <mc:AlternateContent xmlns:mc="http://schemas.openxmlformats.org/markup-compatibility/2006">
          <mc:Choice Requires="x14">
            <control shapeId="7236" r:id="rId27" name="Group Box 68">
              <controlPr defaultSize="0" autoFill="0" autoPict="0">
                <anchor moveWithCells="1">
                  <from>
                    <xdr:col>1</xdr:col>
                    <xdr:colOff>28575</xdr:colOff>
                    <xdr:row>16</xdr:row>
                    <xdr:rowOff>85725</xdr:rowOff>
                  </from>
                  <to>
                    <xdr:col>5</xdr:col>
                    <xdr:colOff>123825</xdr:colOff>
                    <xdr:row>18</xdr:row>
                    <xdr:rowOff>95250</xdr:rowOff>
                  </to>
                </anchor>
              </controlPr>
            </control>
          </mc:Choice>
        </mc:AlternateContent>
        <mc:AlternateContent xmlns:mc="http://schemas.openxmlformats.org/markup-compatibility/2006">
          <mc:Choice Requires="x14">
            <control shapeId="7237" r:id="rId28" name="Option Button 69">
              <controlPr defaultSize="0" autoFill="0" autoLine="0" autoPict="0">
                <anchor moveWithCells="1">
                  <from>
                    <xdr:col>1</xdr:col>
                    <xdr:colOff>133350</xdr:colOff>
                    <xdr:row>17</xdr:row>
                    <xdr:rowOff>9525</xdr:rowOff>
                  </from>
                  <to>
                    <xdr:col>1</xdr:col>
                    <xdr:colOff>428625</xdr:colOff>
                    <xdr:row>18</xdr:row>
                    <xdr:rowOff>47625</xdr:rowOff>
                  </to>
                </anchor>
              </controlPr>
            </control>
          </mc:Choice>
        </mc:AlternateContent>
        <mc:AlternateContent xmlns:mc="http://schemas.openxmlformats.org/markup-compatibility/2006">
          <mc:Choice Requires="x14">
            <control shapeId="7238" r:id="rId29" name="Option Button 70">
              <controlPr defaultSize="0" autoFill="0" autoLine="0" autoPict="0" altText="Moment">
                <anchor moveWithCells="1">
                  <from>
                    <xdr:col>3</xdr:col>
                    <xdr:colOff>76200</xdr:colOff>
                    <xdr:row>17</xdr:row>
                    <xdr:rowOff>19050</xdr:rowOff>
                  </from>
                  <to>
                    <xdr:col>3</xdr:col>
                    <xdr:colOff>352425</xdr:colOff>
                    <xdr:row>18</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E32"/>
  <sheetViews>
    <sheetView zoomScale="60" zoomScaleNormal="60" workbookViewId="0"/>
  </sheetViews>
  <sheetFormatPr defaultColWidth="14.28515625" defaultRowHeight="21"/>
  <cols>
    <col min="1" max="1" width="3" style="10" customWidth="1"/>
    <col min="2" max="2" width="25.28515625" style="10" customWidth="1"/>
    <col min="3" max="15" width="14.28515625" style="10"/>
    <col min="16" max="16" width="20.5703125" style="10" customWidth="1"/>
    <col min="17" max="17" width="14.28515625" style="10"/>
    <col min="18" max="18" width="20.5703125" style="10" customWidth="1"/>
    <col min="19" max="16384" width="14.28515625" style="10"/>
  </cols>
  <sheetData>
    <row r="1" spans="2:31" s="205" customFormat="1" ht="30" customHeight="1" thickBot="1">
      <c r="C1" s="493" t="s">
        <v>65</v>
      </c>
      <c r="D1" s="493"/>
      <c r="E1" s="493"/>
      <c r="F1" s="493"/>
      <c r="G1" s="493"/>
      <c r="H1" s="493"/>
      <c r="I1" s="493"/>
      <c r="J1" s="493"/>
      <c r="K1" s="493"/>
      <c r="L1" s="493"/>
      <c r="M1" s="493"/>
      <c r="N1" s="493"/>
      <c r="O1" s="206" t="s">
        <v>49</v>
      </c>
      <c r="P1" s="206" t="str">
        <f>IF(constants!$B$10="English",Language!B30,IF(constants!$B$10=Language!$G$1,Language!G30,IF(constants!$B$10=Language!$C$1,Language!C30,IF(constants!$B$10=Language!$D$1,Language!D30,IF(constants!$B$10=Language!$E$1,Language!E30,IF(constants!$B$10=Language!$F$1,Language!F30,IF(constants!$B$10=Language!$H$1,Language!H30,IF(constants!$B$10=Language!$I$1,Language!I30,IF(constants!$B$10=Language!$J$1,Language!J30,IF(constants!$B$10=Language!$K$1,Language!K30,IF(constants!$B$10=Language!$L$1,Language!L30,IF(constants!$B$10=Language!$M$1,Language!M30,IF(constants!$B$10=Language!$N$1,Language!N30,IF(constants!$B$10=Language!$O$1,Language!O30,IF(constants!$B$10=Language!$P$1,Language!P30,IF(constants!$B$10=Language!$Q$1,Language!Q30,IF(constants!$B$10=Language!$R$1,Language!R30," ")))))))))))))))))</f>
        <v>Coefficients</v>
      </c>
      <c r="Q1" s="206" t="s">
        <v>50</v>
      </c>
      <c r="R1" s="206" t="str">
        <f>IF(constants!$B$10="English",Language!B31,IF(constants!$B$10=Language!$G$1,Language!G31,IF(constants!$B$10=Language!$C$1,Language!C31,IF(constants!$B$10=Language!$D$1,Language!D31,IF(constants!$B$10=Language!$E$1,Language!E31,IF(constants!$B$10=Language!$F$1,Language!F31,IF(constants!$B$10=Language!$H$1,Language!H31,IF(constants!$B$10=Language!$I$1,Language!I31,IF(constants!$B$10=Language!$J$1,Language!J31,IF(constants!$B$10=Language!$K$1,Language!K31,IF(constants!$B$10=Language!$L$1,Language!L31,IF(constants!$B$10=Language!$M$1,Language!M31,IF(constants!$B$10=Language!$N$1,Language!N31,IF(constants!$B$10=Language!$O$1,Language!O31,IF(constants!$B$10=Language!$P$1,Language!P31,IF(constants!$B$10=Language!$Q$1,Language!Q31,IF(constants!$B$10=Language!$R$1,Language!R31," ")))))))))))))))))</f>
        <v>Input</v>
      </c>
    </row>
    <row r="2" spans="2:31" s="128" customFormat="1" ht="33.950000000000003" customHeight="1" thickBot="1">
      <c r="B2" s="466" t="str">
        <f>IF(constants!$B$10="English",Language!B29,IF(constants!$B$10=Language!$G$1,Language!G29,IF(constants!$B$10=Language!$C$1,Language!C29,IF(constants!$B$10=Language!$D$1,Language!D29,IF(constants!$B$10=Language!$E$1,Language!E29,IF(constants!$B$10=Language!$F$1,Language!F29,IF(constants!$B$10=Language!$H$1,Language!H29,IF(constants!$B$10=Language!$I$1,Language!I29,IF(constants!$B$10=Language!$J$1,Language!J29,IF(constants!$B$10=Language!$K$1,Language!K29,IF(constants!$B$10=Language!$L$1,Language!L29,IF(constants!$B$10=Language!$M$1,Language!M29,IF(constants!$B$10=Language!$N$1,Language!N29,IF(constants!$B$10=Language!$O$1,Language!O29,IF(constants!$B$10=Language!$P$1,Language!P29,IF(constants!$B$10=Language!$Q$1,Language!Q29,IF(constants!$B$10=Language!$R$1,Language!R29," ")))))))))))))))))</f>
        <v>Polynomial</v>
      </c>
      <c r="C2" s="498" t="s">
        <v>26</v>
      </c>
      <c r="D2" s="498"/>
      <c r="E2" s="498"/>
      <c r="F2" s="499"/>
      <c r="G2" s="500"/>
      <c r="H2" s="501"/>
      <c r="I2" s="501"/>
      <c r="J2" s="502"/>
      <c r="K2" s="504"/>
      <c r="L2" s="505"/>
      <c r="M2" s="505"/>
      <c r="N2" s="506"/>
    </row>
    <row r="3" spans="2:31" s="204" customFormat="1" ht="33.950000000000003" customHeight="1" thickBot="1">
      <c r="B3" s="467" t="str">
        <f>P1</f>
        <v>Coefficients</v>
      </c>
      <c r="C3" s="219" t="s">
        <v>53</v>
      </c>
      <c r="D3" s="220" t="s">
        <v>54</v>
      </c>
      <c r="E3" s="220" t="s">
        <v>55</v>
      </c>
      <c r="F3" s="221" t="s">
        <v>56</v>
      </c>
      <c r="G3" s="214" t="s">
        <v>57</v>
      </c>
      <c r="H3" s="214" t="s">
        <v>58</v>
      </c>
      <c r="I3" s="214" t="s">
        <v>59</v>
      </c>
      <c r="J3" s="215" t="s">
        <v>60</v>
      </c>
      <c r="K3" s="207" t="s">
        <v>61</v>
      </c>
      <c r="L3" s="208" t="s">
        <v>62</v>
      </c>
      <c r="M3" s="208" t="s">
        <v>63</v>
      </c>
      <c r="N3" s="209" t="s">
        <v>64</v>
      </c>
      <c r="O3" s="503" t="s">
        <v>49</v>
      </c>
      <c r="P3" s="128"/>
      <c r="Q3" s="128"/>
      <c r="R3" s="128"/>
      <c r="S3" s="128"/>
      <c r="T3" s="128"/>
      <c r="U3" s="128"/>
    </row>
    <row r="4" spans="2:31" ht="30" customHeight="1">
      <c r="B4" s="507" t="s">
        <v>123</v>
      </c>
      <c r="C4" s="141">
        <f>calculation!B21</f>
        <v>1</v>
      </c>
      <c r="D4" s="142">
        <f>calculation!C21</f>
        <v>0</v>
      </c>
      <c r="E4" s="142">
        <f>calculation!D21</f>
        <v>0</v>
      </c>
      <c r="F4" s="143">
        <f>calculation!E21</f>
        <v>0</v>
      </c>
      <c r="G4" s="144">
        <v>0</v>
      </c>
      <c r="H4" s="145">
        <v>0</v>
      </c>
      <c r="I4" s="145">
        <v>0</v>
      </c>
      <c r="J4" s="146">
        <v>0</v>
      </c>
      <c r="K4" s="144">
        <v>0</v>
      </c>
      <c r="L4" s="145">
        <v>0</v>
      </c>
      <c r="M4" s="145">
        <v>0</v>
      </c>
      <c r="N4" s="147">
        <v>0</v>
      </c>
      <c r="O4" s="495"/>
      <c r="P4" s="222" t="s">
        <v>53</v>
      </c>
      <c r="Q4" s="495" t="s">
        <v>51</v>
      </c>
      <c r="R4" s="129">
        <f>calculation!N21</f>
        <v>0</v>
      </c>
      <c r="X4" s="148"/>
      <c r="Y4" s="148"/>
      <c r="Z4" s="148"/>
      <c r="AA4" s="148"/>
      <c r="AB4" s="148"/>
      <c r="AC4" s="148"/>
      <c r="AD4" s="148"/>
      <c r="AE4" s="148"/>
    </row>
    <row r="5" spans="2:31" ht="30" customHeight="1">
      <c r="B5" s="508"/>
      <c r="C5" s="149">
        <f>calculation!B22</f>
        <v>0</v>
      </c>
      <c r="D5" s="150">
        <f>calculation!C22</f>
        <v>1</v>
      </c>
      <c r="E5" s="150">
        <f>calculation!D22</f>
        <v>0</v>
      </c>
      <c r="F5" s="151">
        <f>calculation!E22</f>
        <v>0</v>
      </c>
      <c r="G5" s="152">
        <v>0</v>
      </c>
      <c r="H5" s="153">
        <v>0</v>
      </c>
      <c r="I5" s="153">
        <v>0</v>
      </c>
      <c r="J5" s="154">
        <v>0</v>
      </c>
      <c r="K5" s="152">
        <v>0</v>
      </c>
      <c r="L5" s="153">
        <v>0</v>
      </c>
      <c r="M5" s="153">
        <v>0</v>
      </c>
      <c r="N5" s="155">
        <v>0</v>
      </c>
      <c r="O5" s="495"/>
      <c r="P5" s="223" t="s">
        <v>54</v>
      </c>
      <c r="Q5" s="495"/>
      <c r="R5" s="130">
        <f>calculation!N22</f>
        <v>0</v>
      </c>
      <c r="X5" s="148"/>
      <c r="Y5" s="148"/>
      <c r="Z5" s="148"/>
      <c r="AA5" s="148"/>
      <c r="AB5" s="148"/>
      <c r="AC5" s="148"/>
    </row>
    <row r="6" spans="2:31" ht="30" customHeight="1">
      <c r="B6" s="509" t="s">
        <v>124</v>
      </c>
      <c r="C6" s="156">
        <f>calculation!B23</f>
        <v>1</v>
      </c>
      <c r="D6" s="157">
        <f>calculation!C23</f>
        <v>1</v>
      </c>
      <c r="E6" s="157">
        <f>calculation!D23</f>
        <v>1</v>
      </c>
      <c r="F6" s="158">
        <f>calculation!E23</f>
        <v>1</v>
      </c>
      <c r="G6" s="159">
        <f>calculation!F23</f>
        <v>-1</v>
      </c>
      <c r="H6" s="157">
        <f>calculation!G23</f>
        <v>-1</v>
      </c>
      <c r="I6" s="157">
        <f>calculation!H23</f>
        <v>-1</v>
      </c>
      <c r="J6" s="158">
        <f>calculation!I23</f>
        <v>-1</v>
      </c>
      <c r="K6" s="160">
        <v>0</v>
      </c>
      <c r="L6" s="160">
        <v>0</v>
      </c>
      <c r="M6" s="160">
        <v>0</v>
      </c>
      <c r="N6" s="161">
        <v>0</v>
      </c>
      <c r="O6" s="495"/>
      <c r="P6" s="223" t="s">
        <v>55</v>
      </c>
      <c r="Q6" s="495"/>
      <c r="R6" s="131">
        <f>calculation!N23</f>
        <v>0</v>
      </c>
      <c r="X6" s="148"/>
      <c r="Y6" s="148"/>
      <c r="Z6" s="148"/>
      <c r="AA6" s="148"/>
      <c r="AB6" s="148"/>
      <c r="AC6" s="148"/>
    </row>
    <row r="7" spans="2:31" ht="30" customHeight="1">
      <c r="B7" s="510"/>
      <c r="C7" s="162">
        <f>calculation!B24</f>
        <v>0</v>
      </c>
      <c r="D7" s="163">
        <f>calculation!C24</f>
        <v>1</v>
      </c>
      <c r="E7" s="163">
        <f>calculation!D24</f>
        <v>2</v>
      </c>
      <c r="F7" s="164">
        <f>calculation!E24</f>
        <v>3</v>
      </c>
      <c r="G7" s="165">
        <f>calculation!F24</f>
        <v>0</v>
      </c>
      <c r="H7" s="163">
        <f>calculation!G24</f>
        <v>-1</v>
      </c>
      <c r="I7" s="163">
        <f>calculation!H24</f>
        <v>-2</v>
      </c>
      <c r="J7" s="164">
        <f>calculation!I24</f>
        <v>-3</v>
      </c>
      <c r="K7" s="160">
        <v>0</v>
      </c>
      <c r="L7" s="160">
        <v>0</v>
      </c>
      <c r="M7" s="160">
        <v>0</v>
      </c>
      <c r="N7" s="161">
        <v>0</v>
      </c>
      <c r="O7" s="495"/>
      <c r="P7" s="224" t="s">
        <v>56</v>
      </c>
      <c r="Q7" s="495"/>
      <c r="R7" s="132">
        <f>calculation!N24</f>
        <v>0</v>
      </c>
    </row>
    <row r="8" spans="2:31" ht="30" customHeight="1">
      <c r="B8" s="510"/>
      <c r="C8" s="166">
        <f>calculation!B25</f>
        <v>0</v>
      </c>
      <c r="D8" s="167">
        <f>calculation!C25</f>
        <v>0</v>
      </c>
      <c r="E8" s="167">
        <f>calculation!D25</f>
        <v>2</v>
      </c>
      <c r="F8" s="168">
        <f>calculation!E25</f>
        <v>6</v>
      </c>
      <c r="G8" s="169">
        <f>calculation!F25</f>
        <v>0</v>
      </c>
      <c r="H8" s="167">
        <f>calculation!G25</f>
        <v>0</v>
      </c>
      <c r="I8" s="167">
        <f>calculation!H25</f>
        <v>-2</v>
      </c>
      <c r="J8" s="168">
        <f>calculation!I25</f>
        <v>-6</v>
      </c>
      <c r="K8" s="160">
        <v>0</v>
      </c>
      <c r="L8" s="160">
        <v>0</v>
      </c>
      <c r="M8" s="160">
        <v>0</v>
      </c>
      <c r="N8" s="161">
        <v>0</v>
      </c>
      <c r="O8" s="495"/>
      <c r="P8" s="216" t="s">
        <v>57</v>
      </c>
      <c r="Q8" s="495"/>
      <c r="R8" s="133">
        <f>calculation!N25</f>
        <v>0</v>
      </c>
    </row>
    <row r="9" spans="2:31" ht="30" customHeight="1">
      <c r="B9" s="511"/>
      <c r="C9" s="170">
        <f>calculation!B26</f>
        <v>0</v>
      </c>
      <c r="D9" s="171">
        <f>calculation!C26</f>
        <v>0</v>
      </c>
      <c r="E9" s="171">
        <f>calculation!D26</f>
        <v>0</v>
      </c>
      <c r="F9" s="172">
        <f>calculation!E26</f>
        <v>6</v>
      </c>
      <c r="G9" s="173">
        <f>calculation!F26</f>
        <v>0</v>
      </c>
      <c r="H9" s="171">
        <f>calculation!G26</f>
        <v>0</v>
      </c>
      <c r="I9" s="171">
        <f>calculation!H26</f>
        <v>0</v>
      </c>
      <c r="J9" s="172">
        <f>calculation!I26</f>
        <v>-6</v>
      </c>
      <c r="K9" s="160">
        <v>0</v>
      </c>
      <c r="L9" s="160">
        <v>0</v>
      </c>
      <c r="M9" s="160">
        <v>0</v>
      </c>
      <c r="N9" s="161">
        <v>0</v>
      </c>
      <c r="O9" s="495"/>
      <c r="P9" s="217" t="s">
        <v>58</v>
      </c>
      <c r="Q9" s="495"/>
      <c r="R9" s="134">
        <f>calculation!N26</f>
        <v>23.004370830457788</v>
      </c>
    </row>
    <row r="10" spans="2:31" ht="30" customHeight="1">
      <c r="B10" s="512" t="s">
        <v>125</v>
      </c>
      <c r="C10" s="174">
        <v>0</v>
      </c>
      <c r="D10" s="160">
        <v>0</v>
      </c>
      <c r="E10" s="160">
        <v>0</v>
      </c>
      <c r="F10" s="160">
        <v>0</v>
      </c>
      <c r="G10" s="175">
        <f>calculation!F27</f>
        <v>1</v>
      </c>
      <c r="H10" s="176">
        <f>calculation!G27</f>
        <v>2</v>
      </c>
      <c r="I10" s="176">
        <f>calculation!H27</f>
        <v>4</v>
      </c>
      <c r="J10" s="177">
        <f>calculation!I27</f>
        <v>8</v>
      </c>
      <c r="K10" s="175">
        <f>calculation!J27</f>
        <v>0</v>
      </c>
      <c r="L10" s="176">
        <f>calculation!K27</f>
        <v>0</v>
      </c>
      <c r="M10" s="176">
        <f>calculation!L27</f>
        <v>0</v>
      </c>
      <c r="N10" s="178">
        <f>calculation!M27</f>
        <v>0</v>
      </c>
      <c r="O10" s="495"/>
      <c r="P10" s="217" t="s">
        <v>59</v>
      </c>
      <c r="Q10" s="495"/>
      <c r="R10" s="135">
        <f>calculation!N27</f>
        <v>0</v>
      </c>
    </row>
    <row r="11" spans="2:31" ht="30" customHeight="1">
      <c r="B11" s="513"/>
      <c r="C11" s="174">
        <v>0</v>
      </c>
      <c r="D11" s="160">
        <v>0</v>
      </c>
      <c r="E11" s="160">
        <v>0</v>
      </c>
      <c r="F11" s="160">
        <v>0</v>
      </c>
      <c r="G11" s="179">
        <f>calculation!F28</f>
        <v>0</v>
      </c>
      <c r="H11" s="180">
        <f>calculation!G28</f>
        <v>1</v>
      </c>
      <c r="I11" s="180">
        <f>calculation!H28</f>
        <v>4</v>
      </c>
      <c r="J11" s="181">
        <f>calculation!I28</f>
        <v>12</v>
      </c>
      <c r="K11" s="179">
        <f>calculation!J28</f>
        <v>0</v>
      </c>
      <c r="L11" s="180">
        <f>calculation!K28</f>
        <v>-1</v>
      </c>
      <c r="M11" s="180">
        <f>calculation!L28</f>
        <v>-4</v>
      </c>
      <c r="N11" s="182">
        <f>calculation!M28</f>
        <v>-12</v>
      </c>
      <c r="O11" s="495"/>
      <c r="P11" s="218" t="s">
        <v>60</v>
      </c>
      <c r="Q11" s="495"/>
      <c r="R11" s="136">
        <f>calculation!N28</f>
        <v>0</v>
      </c>
    </row>
    <row r="12" spans="2:31" ht="30" customHeight="1">
      <c r="B12" s="513"/>
      <c r="C12" s="174">
        <v>0</v>
      </c>
      <c r="D12" s="160">
        <v>0</v>
      </c>
      <c r="E12" s="160">
        <v>0</v>
      </c>
      <c r="F12" s="160">
        <v>0</v>
      </c>
      <c r="G12" s="183">
        <f>calculation!F29</f>
        <v>0</v>
      </c>
      <c r="H12" s="184">
        <f>calculation!G29</f>
        <v>0</v>
      </c>
      <c r="I12" s="184">
        <f>calculation!H29</f>
        <v>2</v>
      </c>
      <c r="J12" s="185">
        <f>calculation!I29</f>
        <v>12</v>
      </c>
      <c r="K12" s="183">
        <f>calculation!J29</f>
        <v>0</v>
      </c>
      <c r="L12" s="184">
        <f>calculation!K29</f>
        <v>0</v>
      </c>
      <c r="M12" s="184">
        <f>calculation!L29</f>
        <v>-2</v>
      </c>
      <c r="N12" s="186">
        <f>calculation!M29</f>
        <v>-12</v>
      </c>
      <c r="O12" s="495"/>
      <c r="P12" s="210" t="s">
        <v>61</v>
      </c>
      <c r="Q12" s="495"/>
      <c r="R12" s="137">
        <f>calculation!N29</f>
        <v>0</v>
      </c>
    </row>
    <row r="13" spans="2:31" ht="30" customHeight="1">
      <c r="B13" s="514"/>
      <c r="C13" s="174">
        <v>0</v>
      </c>
      <c r="D13" s="160">
        <v>0</v>
      </c>
      <c r="E13" s="160">
        <v>0</v>
      </c>
      <c r="F13" s="160">
        <v>0</v>
      </c>
      <c r="G13" s="187">
        <f>calculation!F30</f>
        <v>0</v>
      </c>
      <c r="H13" s="188">
        <f>calculation!G30</f>
        <v>0</v>
      </c>
      <c r="I13" s="188">
        <f>calculation!H30</f>
        <v>0</v>
      </c>
      <c r="J13" s="189">
        <f>calculation!I30</f>
        <v>0</v>
      </c>
      <c r="K13" s="187">
        <f>calculation!J30</f>
        <v>1</v>
      </c>
      <c r="L13" s="188">
        <f>calculation!K30</f>
        <v>2</v>
      </c>
      <c r="M13" s="188">
        <f>calculation!L30</f>
        <v>4</v>
      </c>
      <c r="N13" s="190">
        <f>calculation!M30</f>
        <v>8</v>
      </c>
      <c r="O13" s="495"/>
      <c r="P13" s="210" t="s">
        <v>62</v>
      </c>
      <c r="Q13" s="495"/>
      <c r="R13" s="138">
        <f>calculation!N30</f>
        <v>0</v>
      </c>
    </row>
    <row r="14" spans="2:31" ht="30" customHeight="1">
      <c r="B14" s="496" t="s">
        <v>126</v>
      </c>
      <c r="C14" s="191">
        <v>0</v>
      </c>
      <c r="D14" s="192">
        <v>0</v>
      </c>
      <c r="E14" s="192">
        <v>0</v>
      </c>
      <c r="F14" s="193">
        <v>0</v>
      </c>
      <c r="G14" s="194">
        <v>0</v>
      </c>
      <c r="H14" s="192">
        <v>0</v>
      </c>
      <c r="I14" s="192">
        <v>0</v>
      </c>
      <c r="J14" s="193">
        <v>0</v>
      </c>
      <c r="K14" s="195">
        <f>calculation!J31</f>
        <v>0</v>
      </c>
      <c r="L14" s="195">
        <f>calculation!K31</f>
        <v>0</v>
      </c>
      <c r="M14" s="195">
        <f>calculation!L31</f>
        <v>0</v>
      </c>
      <c r="N14" s="196">
        <f>calculation!M31</f>
        <v>6</v>
      </c>
      <c r="O14" s="495"/>
      <c r="P14" s="210" t="s">
        <v>63</v>
      </c>
      <c r="Q14" s="495"/>
      <c r="R14" s="139">
        <f>calculation!N31</f>
        <v>0</v>
      </c>
    </row>
    <row r="15" spans="2:31" ht="30" customHeight="1" thickBot="1">
      <c r="B15" s="497"/>
      <c r="C15" s="197">
        <v>0</v>
      </c>
      <c r="D15" s="198">
        <v>0</v>
      </c>
      <c r="E15" s="198">
        <v>0</v>
      </c>
      <c r="F15" s="199">
        <v>0</v>
      </c>
      <c r="G15" s="200">
        <v>0</v>
      </c>
      <c r="H15" s="198">
        <v>0</v>
      </c>
      <c r="I15" s="198">
        <v>0</v>
      </c>
      <c r="J15" s="199">
        <v>0</v>
      </c>
      <c r="K15" s="201">
        <f>calculation!J32</f>
        <v>0</v>
      </c>
      <c r="L15" s="201">
        <f>calculation!K32</f>
        <v>0</v>
      </c>
      <c r="M15" s="201">
        <f>calculation!L32</f>
        <v>2</v>
      </c>
      <c r="N15" s="202">
        <f>calculation!M32</f>
        <v>24</v>
      </c>
      <c r="O15" s="495"/>
      <c r="P15" s="211" t="s">
        <v>64</v>
      </c>
      <c r="Q15" s="495"/>
      <c r="R15" s="140">
        <f>calculation!N32</f>
        <v>0</v>
      </c>
    </row>
    <row r="16" spans="2:31" ht="21" customHeight="1"/>
    <row r="17" spans="3:19" ht="21" customHeight="1"/>
    <row r="18" spans="3:19" ht="21" customHeight="1"/>
    <row r="19" spans="3:19" s="205" customFormat="1" ht="30" customHeight="1" thickBot="1">
      <c r="C19" s="494"/>
      <c r="D19" s="494"/>
      <c r="E19" s="494"/>
      <c r="F19" s="494"/>
      <c r="G19" s="494"/>
      <c r="H19" s="494"/>
      <c r="I19" s="494"/>
      <c r="J19" s="494"/>
      <c r="K19" s="494"/>
      <c r="L19" s="494"/>
      <c r="M19" s="494"/>
      <c r="N19" s="494"/>
      <c r="O19" s="206" t="s">
        <v>49</v>
      </c>
      <c r="P19" s="206" t="str">
        <f>R1</f>
        <v>Input</v>
      </c>
      <c r="Q19" s="206" t="s">
        <v>50</v>
      </c>
      <c r="R19" s="206" t="str">
        <f>P1</f>
        <v>Coefficients</v>
      </c>
    </row>
    <row r="20" spans="3:19" ht="30" customHeight="1">
      <c r="C20" s="228">
        <f t="array" ref="C20:N31">MINVERSE(C4:N15)</f>
        <v>1</v>
      </c>
      <c r="D20" s="145">
        <v>0</v>
      </c>
      <c r="E20" s="145">
        <v>0</v>
      </c>
      <c r="F20" s="145">
        <v>0</v>
      </c>
      <c r="G20" s="145">
        <v>0</v>
      </c>
      <c r="H20" s="145">
        <v>0</v>
      </c>
      <c r="I20" s="145">
        <v>0</v>
      </c>
      <c r="J20" s="145">
        <v>0</v>
      </c>
      <c r="K20" s="145">
        <v>0</v>
      </c>
      <c r="L20" s="145">
        <v>0</v>
      </c>
      <c r="M20" s="145">
        <v>0</v>
      </c>
      <c r="N20" s="147">
        <v>0</v>
      </c>
      <c r="O20" s="495" t="s">
        <v>52</v>
      </c>
      <c r="P20" s="129">
        <f>R4</f>
        <v>0</v>
      </c>
      <c r="Q20" s="495" t="s">
        <v>51</v>
      </c>
      <c r="R20" s="225">
        <f t="array" ref="R20:R31">MMULT(C20:N31,P20:P31)</f>
        <v>0</v>
      </c>
      <c r="S20" s="10" t="s">
        <v>53</v>
      </c>
    </row>
    <row r="21" spans="3:19" ht="30" customHeight="1">
      <c r="C21" s="174">
        <v>0</v>
      </c>
      <c r="D21" s="160">
        <v>1</v>
      </c>
      <c r="E21" s="160">
        <v>0</v>
      </c>
      <c r="F21" s="160">
        <v>0</v>
      </c>
      <c r="G21" s="160">
        <v>0</v>
      </c>
      <c r="H21" s="160">
        <v>0</v>
      </c>
      <c r="I21" s="160">
        <v>0</v>
      </c>
      <c r="J21" s="160">
        <v>0</v>
      </c>
      <c r="K21" s="160">
        <v>0</v>
      </c>
      <c r="L21" s="160">
        <v>0</v>
      </c>
      <c r="M21" s="160">
        <v>0</v>
      </c>
      <c r="N21" s="161">
        <v>0</v>
      </c>
      <c r="O21" s="495"/>
      <c r="P21" s="130">
        <f t="shared" ref="P21:P31" si="0">R5</f>
        <v>0</v>
      </c>
      <c r="Q21" s="495"/>
      <c r="R21" s="226">
        <v>0</v>
      </c>
      <c r="S21" s="10" t="s">
        <v>54</v>
      </c>
    </row>
    <row r="22" spans="3:19" ht="30" customHeight="1">
      <c r="C22" s="174">
        <v>-0.375</v>
      </c>
      <c r="D22" s="160">
        <v>-0.75</v>
      </c>
      <c r="E22" s="160">
        <v>0.375</v>
      </c>
      <c r="F22" s="160">
        <v>0.375</v>
      </c>
      <c r="G22" s="160">
        <v>-6.25E-2</v>
      </c>
      <c r="H22" s="160">
        <v>-0.1875</v>
      </c>
      <c r="I22" s="160">
        <v>0.375</v>
      </c>
      <c r="J22" s="160">
        <v>0</v>
      </c>
      <c r="K22" s="160">
        <v>-0.25</v>
      </c>
      <c r="L22" s="160">
        <v>0</v>
      </c>
      <c r="M22" s="160">
        <v>0.5</v>
      </c>
      <c r="N22" s="161">
        <v>-0.25</v>
      </c>
      <c r="O22" s="495"/>
      <c r="P22" s="131">
        <f t="shared" si="0"/>
        <v>0</v>
      </c>
      <c r="Q22" s="495"/>
      <c r="R22" s="226">
        <v>-4.3133195307108352</v>
      </c>
      <c r="S22" s="10" t="s">
        <v>55</v>
      </c>
    </row>
    <row r="23" spans="3:19" ht="30" customHeight="1">
      <c r="C23" s="174">
        <v>6.25E-2</v>
      </c>
      <c r="D23" s="160">
        <v>0.125</v>
      </c>
      <c r="E23" s="160">
        <v>-6.25E-2</v>
      </c>
      <c r="F23" s="160">
        <v>-6.25E-2</v>
      </c>
      <c r="G23" s="160">
        <v>9.375E-2</v>
      </c>
      <c r="H23" s="160">
        <v>0.11458333333333333</v>
      </c>
      <c r="I23" s="160">
        <v>-6.25E-2</v>
      </c>
      <c r="J23" s="160">
        <v>0</v>
      </c>
      <c r="K23" s="160">
        <v>0.125</v>
      </c>
      <c r="L23" s="160">
        <v>0</v>
      </c>
      <c r="M23" s="160">
        <v>-0.25</v>
      </c>
      <c r="N23" s="161">
        <v>0.125</v>
      </c>
      <c r="O23" s="495"/>
      <c r="P23" s="132">
        <f t="shared" si="0"/>
        <v>0</v>
      </c>
      <c r="Q23" s="495"/>
      <c r="R23" s="227">
        <v>2.6359174909899545</v>
      </c>
      <c r="S23" s="10" t="s">
        <v>56</v>
      </c>
    </row>
    <row r="24" spans="3:19" ht="30" customHeight="1">
      <c r="C24" s="174">
        <v>1</v>
      </c>
      <c r="D24" s="160">
        <v>0</v>
      </c>
      <c r="E24" s="160">
        <v>-1</v>
      </c>
      <c r="F24" s="160">
        <v>1</v>
      </c>
      <c r="G24" s="160">
        <v>-0.5</v>
      </c>
      <c r="H24" s="160">
        <v>0.16666666666666674</v>
      </c>
      <c r="I24" s="160">
        <v>0</v>
      </c>
      <c r="J24" s="160">
        <v>0</v>
      </c>
      <c r="K24" s="160">
        <v>0</v>
      </c>
      <c r="L24" s="160">
        <v>0</v>
      </c>
      <c r="M24" s="160">
        <v>0</v>
      </c>
      <c r="N24" s="161">
        <v>0</v>
      </c>
      <c r="O24" s="495"/>
      <c r="P24" s="133">
        <f t="shared" si="0"/>
        <v>0</v>
      </c>
      <c r="Q24" s="495"/>
      <c r="R24" s="216">
        <v>3.8340618050762996</v>
      </c>
      <c r="S24" s="10" t="s">
        <v>57</v>
      </c>
    </row>
    <row r="25" spans="3:19" ht="30" customHeight="1">
      <c r="C25" s="174">
        <v>0</v>
      </c>
      <c r="D25" s="160">
        <v>1</v>
      </c>
      <c r="E25" s="160">
        <v>0</v>
      </c>
      <c r="F25" s="160">
        <v>-1</v>
      </c>
      <c r="G25" s="160">
        <v>1</v>
      </c>
      <c r="H25" s="160">
        <v>-0.50000000000000011</v>
      </c>
      <c r="I25" s="160">
        <v>0</v>
      </c>
      <c r="J25" s="160">
        <v>0</v>
      </c>
      <c r="K25" s="160">
        <v>0</v>
      </c>
      <c r="L25" s="160">
        <v>0</v>
      </c>
      <c r="M25" s="160">
        <v>0</v>
      </c>
      <c r="N25" s="161">
        <v>0</v>
      </c>
      <c r="O25" s="495"/>
      <c r="P25" s="134">
        <f t="shared" si="0"/>
        <v>23.004370830457788</v>
      </c>
      <c r="Q25" s="495"/>
      <c r="R25" s="217">
        <v>-11.502185415228896</v>
      </c>
      <c r="S25" s="10" t="s">
        <v>58</v>
      </c>
    </row>
    <row r="26" spans="3:19" ht="30" customHeight="1">
      <c r="C26" s="174">
        <v>-0.375</v>
      </c>
      <c r="D26" s="160">
        <v>-0.75</v>
      </c>
      <c r="E26" s="160">
        <v>0.375</v>
      </c>
      <c r="F26" s="160">
        <v>0.375</v>
      </c>
      <c r="G26" s="160">
        <v>-0.5625</v>
      </c>
      <c r="H26" s="160">
        <v>0.31250000000000006</v>
      </c>
      <c r="I26" s="160">
        <v>0.375</v>
      </c>
      <c r="J26" s="160">
        <v>0</v>
      </c>
      <c r="K26" s="160">
        <v>-0.25</v>
      </c>
      <c r="L26" s="160">
        <v>0</v>
      </c>
      <c r="M26" s="160">
        <v>0.5</v>
      </c>
      <c r="N26" s="161">
        <v>-0.25</v>
      </c>
      <c r="O26" s="495"/>
      <c r="P26" s="135">
        <f t="shared" si="0"/>
        <v>0</v>
      </c>
      <c r="Q26" s="495"/>
      <c r="R26" s="217">
        <v>7.1888658845180595</v>
      </c>
      <c r="S26" s="10" t="s">
        <v>59</v>
      </c>
    </row>
    <row r="27" spans="3:19" ht="30" customHeight="1">
      <c r="C27" s="174">
        <v>6.25E-2</v>
      </c>
      <c r="D27" s="160">
        <v>0.125</v>
      </c>
      <c r="E27" s="160">
        <v>-6.25E-2</v>
      </c>
      <c r="F27" s="160">
        <v>-6.25E-2</v>
      </c>
      <c r="G27" s="160">
        <v>9.375E-2</v>
      </c>
      <c r="H27" s="160">
        <v>-5.2083333333333336E-2</v>
      </c>
      <c r="I27" s="160">
        <v>-6.25E-2</v>
      </c>
      <c r="J27" s="160">
        <v>0</v>
      </c>
      <c r="K27" s="160">
        <v>0.125</v>
      </c>
      <c r="L27" s="160">
        <v>0</v>
      </c>
      <c r="M27" s="160">
        <v>-0.25</v>
      </c>
      <c r="N27" s="161">
        <v>0.125</v>
      </c>
      <c r="O27" s="495"/>
      <c r="P27" s="136">
        <f t="shared" si="0"/>
        <v>0</v>
      </c>
      <c r="Q27" s="495"/>
      <c r="R27" s="218">
        <v>-1.1981443140863433</v>
      </c>
      <c r="S27" s="10" t="s">
        <v>60</v>
      </c>
    </row>
    <row r="28" spans="3:19" ht="30" customHeight="1">
      <c r="C28" s="174">
        <v>1.5</v>
      </c>
      <c r="D28" s="160">
        <v>1</v>
      </c>
      <c r="E28" s="160">
        <v>-1.5</v>
      </c>
      <c r="F28" s="160">
        <v>0.49999999999999978</v>
      </c>
      <c r="G28" s="160">
        <v>0.25000000000000022</v>
      </c>
      <c r="H28" s="160">
        <v>-0.25000000000000006</v>
      </c>
      <c r="I28" s="160">
        <v>-1.5</v>
      </c>
      <c r="J28" s="160">
        <v>2</v>
      </c>
      <c r="K28" s="160">
        <v>-1</v>
      </c>
      <c r="L28" s="160">
        <v>1</v>
      </c>
      <c r="M28" s="160">
        <v>-3.333333333333333</v>
      </c>
      <c r="N28" s="161">
        <v>1</v>
      </c>
      <c r="O28" s="495"/>
      <c r="P28" s="137">
        <f t="shared" si="0"/>
        <v>0</v>
      </c>
      <c r="Q28" s="495"/>
      <c r="R28" s="212">
        <v>-5.7510927076144478</v>
      </c>
      <c r="S28" s="10" t="s">
        <v>61</v>
      </c>
    </row>
    <row r="29" spans="3:19" ht="30" customHeight="1">
      <c r="C29" s="174">
        <v>-0.75</v>
      </c>
      <c r="D29" s="160">
        <v>-0.5</v>
      </c>
      <c r="E29" s="160">
        <v>0.75</v>
      </c>
      <c r="F29" s="160">
        <v>-0.24999999999999989</v>
      </c>
      <c r="G29" s="160">
        <v>-0.12500000000000011</v>
      </c>
      <c r="H29" s="160">
        <v>0.12500000000000003</v>
      </c>
      <c r="I29" s="160">
        <v>0.75</v>
      </c>
      <c r="J29" s="160">
        <v>-1</v>
      </c>
      <c r="K29" s="160">
        <v>0.5</v>
      </c>
      <c r="L29" s="160">
        <v>0</v>
      </c>
      <c r="M29" s="160">
        <v>5</v>
      </c>
      <c r="N29" s="161">
        <v>-1.5</v>
      </c>
      <c r="O29" s="495"/>
      <c r="P29" s="138">
        <f t="shared" si="0"/>
        <v>0</v>
      </c>
      <c r="Q29" s="495"/>
      <c r="R29" s="212">
        <v>2.8755463538072239</v>
      </c>
      <c r="S29" s="10" t="s">
        <v>62</v>
      </c>
    </row>
    <row r="30" spans="3:19" ht="30" customHeight="1">
      <c r="C30" s="174">
        <v>0</v>
      </c>
      <c r="D30" s="160">
        <v>0</v>
      </c>
      <c r="E30" s="160">
        <v>0</v>
      </c>
      <c r="F30" s="160">
        <v>0</v>
      </c>
      <c r="G30" s="160">
        <v>0</v>
      </c>
      <c r="H30" s="160">
        <v>0</v>
      </c>
      <c r="I30" s="160">
        <v>0</v>
      </c>
      <c r="J30" s="160">
        <v>0</v>
      </c>
      <c r="K30" s="160">
        <v>0</v>
      </c>
      <c r="L30" s="160">
        <v>0</v>
      </c>
      <c r="M30" s="160">
        <v>-2</v>
      </c>
      <c r="N30" s="161">
        <v>0.5</v>
      </c>
      <c r="O30" s="495"/>
      <c r="P30" s="139">
        <f t="shared" si="0"/>
        <v>0</v>
      </c>
      <c r="Q30" s="495"/>
      <c r="R30" s="212">
        <v>0</v>
      </c>
      <c r="S30" s="10" t="s">
        <v>63</v>
      </c>
    </row>
    <row r="31" spans="3:19" ht="30" customHeight="1" thickBot="1">
      <c r="C31" s="197">
        <v>0</v>
      </c>
      <c r="D31" s="198">
        <v>0</v>
      </c>
      <c r="E31" s="198">
        <v>0</v>
      </c>
      <c r="F31" s="198">
        <v>0</v>
      </c>
      <c r="G31" s="198">
        <v>0</v>
      </c>
      <c r="H31" s="198">
        <v>0</v>
      </c>
      <c r="I31" s="198">
        <v>0</v>
      </c>
      <c r="J31" s="198">
        <v>0</v>
      </c>
      <c r="K31" s="198">
        <v>0</v>
      </c>
      <c r="L31" s="198">
        <v>0</v>
      </c>
      <c r="M31" s="198">
        <v>0.16666666666666666</v>
      </c>
      <c r="N31" s="229">
        <v>0</v>
      </c>
      <c r="O31" s="495"/>
      <c r="P31" s="140">
        <f t="shared" si="0"/>
        <v>0</v>
      </c>
      <c r="Q31" s="495"/>
      <c r="R31" s="213">
        <v>0</v>
      </c>
      <c r="S31" s="10" t="s">
        <v>64</v>
      </c>
    </row>
    <row r="32" spans="3:19">
      <c r="R32" s="203"/>
    </row>
  </sheetData>
  <mergeCells count="13">
    <mergeCell ref="C1:N1"/>
    <mergeCell ref="C19:N19"/>
    <mergeCell ref="O20:O31"/>
    <mergeCell ref="Q20:Q31"/>
    <mergeCell ref="B14:B15"/>
    <mergeCell ref="C2:F2"/>
    <mergeCell ref="G2:J2"/>
    <mergeCell ref="O3:O15"/>
    <mergeCell ref="Q4:Q15"/>
    <mergeCell ref="K2:N2"/>
    <mergeCell ref="B4:B5"/>
    <mergeCell ref="B6:B9"/>
    <mergeCell ref="B10:B13"/>
  </mergeCells>
  <phoneticPr fontId="10" type="noConversion"/>
  <pageMargins left="0.69930555555555596" right="0.69930555555555596"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H645"/>
  <sheetViews>
    <sheetView zoomScale="80" zoomScaleNormal="80" workbookViewId="0"/>
  </sheetViews>
  <sheetFormatPr defaultColWidth="9" defaultRowHeight="15"/>
  <cols>
    <col min="1" max="1" width="9" style="236"/>
    <col min="2" max="8" width="15.5703125" style="237" customWidth="1"/>
    <col min="9" max="9" width="9" style="4" customWidth="1"/>
    <col min="10" max="16384" width="9" style="4"/>
  </cols>
  <sheetData>
    <row r="1" spans="1:8" s="446" customFormat="1" ht="15.75">
      <c r="A1" s="442"/>
      <c r="B1" s="443" t="s">
        <v>27</v>
      </c>
      <c r="C1" s="444" t="s">
        <v>247</v>
      </c>
      <c r="D1" s="444" t="s">
        <v>29</v>
      </c>
      <c r="E1" s="444" t="s">
        <v>179</v>
      </c>
      <c r="F1" s="444" t="s">
        <v>158</v>
      </c>
      <c r="G1" s="444" t="s">
        <v>71</v>
      </c>
      <c r="H1" s="445" t="s">
        <v>157</v>
      </c>
    </row>
    <row r="2" spans="1:8" s="125" customFormat="1" ht="16.5" thickBot="1">
      <c r="A2" s="233"/>
      <c r="B2" s="234" t="str">
        <f>IF(constants!$B$10="English",Language!B12,IF(constants!$B$10=Language!$G$1,Language!G12,IF(constants!$B$10=Language!$C$1,Language!C12,IF(constants!$B$10=Language!$D$1,Language!D12,IF(constants!$B$10=Language!$E$1,Language!E12,IF(constants!$B$10=Language!$F$1,Language!F12,IF(constants!$B$10=Language!$H$1,Language!H12,IF(constants!$B$10=Language!$I$1,Language!I12,IF(constants!$B$10=Language!$J$1,Language!J12,IF(constants!$B$10=Language!$K$1,Language!K12,IF(constants!$B$10=Language!$L$1,Language!L12,IF(constants!$B$10=Language!$M$1,Language!M12,IF(constants!$B$10=Language!$N$1,Language!N12,IF(constants!$B$10=Language!$O$1,Language!O12,IF(constants!$B$10=Language!$P$1,Language!P12,IF(constants!$B$10=Language!$Q$1,Language!Q12,IF(constants!$B$10=Language!$R$1,Language!R12," ")))))))))))))))))</f>
        <v>Position</v>
      </c>
      <c r="C2" s="385" t="str">
        <f>Properties!$B$11</f>
        <v>Deflection</v>
      </c>
      <c r="D2" s="385" t="str">
        <f>Properties!$C$11</f>
        <v>Slope</v>
      </c>
      <c r="E2" s="385" t="str">
        <f>Properties!$D$11</f>
        <v>Curvature</v>
      </c>
      <c r="F2" s="385" t="str">
        <f>Properties!$E$11</f>
        <v>Moment</v>
      </c>
      <c r="G2" s="385" t="str">
        <f>Properties!$F$11</f>
        <v>Shear</v>
      </c>
      <c r="H2" s="386" t="str">
        <f>Properties!$G$11</f>
        <v>Load</v>
      </c>
    </row>
    <row r="3" spans="1:8">
      <c r="A3" s="515" t="str">
        <f>Solver!B2</f>
        <v>Polynomial</v>
      </c>
      <c r="B3" s="371">
        <f>Data!A3</f>
        <v>0</v>
      </c>
      <c r="C3" s="389">
        <f>IF(constants!$O$2=1,Data!B3,-Data!B3)</f>
        <v>0</v>
      </c>
      <c r="D3" s="389">
        <f>IF(constants!$O$3=1,Data!C3,-Data!C3)</f>
        <v>0</v>
      </c>
      <c r="E3" s="389">
        <f>IF(constants!$O$4=1,Data!D3,-Data!D3)</f>
        <v>-8.6266390614216704</v>
      </c>
      <c r="F3" s="389">
        <f>IF(constants!$O$5=1,Data!E3,-Data!E3)</f>
        <v>-1.875</v>
      </c>
      <c r="G3" s="389">
        <f>IF(constants!$O$6=1,Data!F3,-Data!F3)</f>
        <v>3.4374999999999996</v>
      </c>
      <c r="H3" s="390">
        <f>IF(constants!$O$7=1,Data!G3,-Data!G3)</f>
        <v>3.4374999999999996</v>
      </c>
    </row>
    <row r="4" spans="1:8">
      <c r="A4" s="516"/>
      <c r="B4" s="372">
        <f>Data!A4</f>
        <v>0.01</v>
      </c>
      <c r="C4" s="374">
        <f>IF(constants!$O$2=1,Data!B4,-Data!B4)</f>
        <v>-4.2869603558009362E-4</v>
      </c>
      <c r="D4" s="374">
        <f>IF(constants!$O$3=1,Data!C4,-Data!C4)</f>
        <v>-8.5475615366919722E-2</v>
      </c>
      <c r="E4" s="374">
        <f>IF(constants!$O$4=1,Data!D4,-Data!D4)</f>
        <v>-8.4684840119622731</v>
      </c>
      <c r="F4" s="374">
        <f>IF(constants!$O$5=1,Data!E4,-Data!E4)</f>
        <v>-1.840625</v>
      </c>
      <c r="G4" s="374">
        <f>IF(constants!$O$6=1,Data!F4,-Data!F4)</f>
        <v>3.4374999999999996</v>
      </c>
      <c r="H4" s="391">
        <f>IF(constants!$O$7=1,Data!G4,-Data!G4)</f>
        <v>0</v>
      </c>
    </row>
    <row r="5" spans="1:8">
      <c r="A5" s="516"/>
      <c r="B5" s="372">
        <f>Data!A5</f>
        <v>0.02</v>
      </c>
      <c r="C5" s="374">
        <f>IF(constants!$O$2=1,Data!B5,-Data!B5)</f>
        <v>-1.7042404723564145E-3</v>
      </c>
      <c r="D5" s="374">
        <f>IF(constants!$O$3=1,Data!C5,-Data!C5)</f>
        <v>-0.16936968023924545</v>
      </c>
      <c r="E5" s="374">
        <f>IF(constants!$O$4=1,Data!D5,-Data!D5)</f>
        <v>-8.3103289625028758</v>
      </c>
      <c r="F5" s="374">
        <f>IF(constants!$O$5=1,Data!E5,-Data!E5)</f>
        <v>-1.8062499999999999</v>
      </c>
      <c r="G5" s="374">
        <f>IF(constants!$O$6=1,Data!F5,-Data!F5)</f>
        <v>3.4374999999999996</v>
      </c>
      <c r="H5" s="391">
        <f>IF(constants!$O$7=1,Data!G5,-Data!G5)</f>
        <v>0</v>
      </c>
    </row>
    <row r="6" spans="1:8">
      <c r="A6" s="516"/>
      <c r="B6" s="372">
        <f>Data!A6</f>
        <v>0.03</v>
      </c>
      <c r="C6" s="374">
        <f>IF(constants!$O$2=1,Data!B6,-Data!B6)</f>
        <v>-3.8108178053830226E-3</v>
      </c>
      <c r="D6" s="374">
        <f>IF(constants!$O$3=1,Data!C6,-Data!C6)</f>
        <v>-0.25168219461697722</v>
      </c>
      <c r="E6" s="374">
        <f>IF(constants!$O$4=1,Data!D6,-Data!D6)</f>
        <v>-8.1521739130434785</v>
      </c>
      <c r="F6" s="374">
        <f>IF(constants!$O$5=1,Data!E6,-Data!E6)</f>
        <v>-1.7718749999999999</v>
      </c>
      <c r="G6" s="374">
        <f>IF(constants!$O$6=1,Data!F6,-Data!F6)</f>
        <v>3.4374999999999996</v>
      </c>
      <c r="H6" s="391">
        <f>IF(constants!$O$7=1,Data!G6,-Data!G6)</f>
        <v>0</v>
      </c>
    </row>
    <row r="7" spans="1:8">
      <c r="A7" s="516"/>
      <c r="B7" s="372">
        <f>Data!A7</f>
        <v>0.04</v>
      </c>
      <c r="C7" s="374">
        <f>IF(constants!$O$2=1,Data!B7,-Data!B7)</f>
        <v>-6.7326125297139799E-3</v>
      </c>
      <c r="D7" s="374">
        <f>IF(constants!$O$3=1,Data!C7,-Data!C7)</f>
        <v>-0.33241315850011505</v>
      </c>
      <c r="E7" s="374">
        <f>IF(constants!$O$4=1,Data!D7,-Data!D7)</f>
        <v>-7.9940188635840812</v>
      </c>
      <c r="F7" s="374">
        <f>IF(constants!$O$5=1,Data!E7,-Data!E7)</f>
        <v>-1.7375</v>
      </c>
      <c r="G7" s="374">
        <f>IF(constants!$O$6=1,Data!F7,-Data!F7)</f>
        <v>3.4374999999999996</v>
      </c>
      <c r="H7" s="391">
        <f>IF(constants!$O$7=1,Data!G7,-Data!G7)</f>
        <v>0</v>
      </c>
    </row>
    <row r="8" spans="1:8">
      <c r="A8" s="516"/>
      <c r="B8" s="372">
        <f>Data!A8</f>
        <v>0.05</v>
      </c>
      <c r="C8" s="374">
        <f>IF(constants!$O$2=1,Data!B8,-Data!B8)</f>
        <v>-1.0453809140403345E-2</v>
      </c>
      <c r="D8" s="374">
        <f>IF(constants!$O$3=1,Data!C8,-Data!C8)</f>
        <v>-0.41156257188865886</v>
      </c>
      <c r="E8" s="374">
        <f>IF(constants!$O$4=1,Data!D8,-Data!D8)</f>
        <v>-7.8358638141246839</v>
      </c>
      <c r="F8" s="374">
        <f>IF(constants!$O$5=1,Data!E8,-Data!E8)</f>
        <v>-1.703125</v>
      </c>
      <c r="G8" s="374">
        <f>IF(constants!$O$6=1,Data!F8,-Data!F8)</f>
        <v>3.4374999999999996</v>
      </c>
      <c r="H8" s="391">
        <f>IF(constants!$O$7=1,Data!G8,-Data!G8)</f>
        <v>0</v>
      </c>
    </row>
    <row r="9" spans="1:8">
      <c r="A9" s="516"/>
      <c r="B9" s="372">
        <f>Data!A9</f>
        <v>0.06</v>
      </c>
      <c r="C9" s="374">
        <f>IF(constants!$O$2=1,Data!B9,-Data!B9)</f>
        <v>-1.4958592132505177E-2</v>
      </c>
      <c r="D9" s="374">
        <f>IF(constants!$O$3=1,Data!C9,-Data!C9)</f>
        <v>-0.4891304347826087</v>
      </c>
      <c r="E9" s="374">
        <f>IF(constants!$O$4=1,Data!D9,-Data!D9)</f>
        <v>-7.6777087646652866</v>
      </c>
      <c r="F9" s="374">
        <f>IF(constants!$O$5=1,Data!E9,-Data!E9)</f>
        <v>-1.66875</v>
      </c>
      <c r="G9" s="374">
        <f>IF(constants!$O$6=1,Data!F9,-Data!F9)</f>
        <v>3.4374999999999996</v>
      </c>
      <c r="H9" s="391">
        <f>IF(constants!$O$7=1,Data!G9,-Data!G9)</f>
        <v>0</v>
      </c>
    </row>
    <row r="10" spans="1:8">
      <c r="A10" s="516"/>
      <c r="B10" s="372">
        <f>Data!A10</f>
        <v>7.0000000000000007E-2</v>
      </c>
      <c r="C10" s="374">
        <f>IF(constants!$O$2=1,Data!B10,-Data!B10)</f>
        <v>-2.0231146001073542E-2</v>
      </c>
      <c r="D10" s="374">
        <f>IF(constants!$O$3=1,Data!C10,-Data!C10)</f>
        <v>-0.5651167471819647</v>
      </c>
      <c r="E10" s="374">
        <f>IF(constants!$O$4=1,Data!D10,-Data!D10)</f>
        <v>-7.5195537152058893</v>
      </c>
      <c r="F10" s="374">
        <f>IF(constants!$O$5=1,Data!E10,-Data!E10)</f>
        <v>-1.6343749999999999</v>
      </c>
      <c r="G10" s="374">
        <f>IF(constants!$O$6=1,Data!F10,-Data!F10)</f>
        <v>3.4374999999999996</v>
      </c>
      <c r="H10" s="391">
        <f>IF(constants!$O$7=1,Data!G10,-Data!G10)</f>
        <v>0</v>
      </c>
    </row>
    <row r="11" spans="1:8">
      <c r="A11" s="516"/>
      <c r="B11" s="372">
        <f>Data!A11</f>
        <v>0.08</v>
      </c>
      <c r="C11" s="374">
        <f>IF(constants!$O$2=1,Data!B11,-Data!B11)</f>
        <v>-2.6255655241162492E-2</v>
      </c>
      <c r="D11" s="374">
        <f>IF(constants!$O$3=1,Data!C11,-Data!C11)</f>
        <v>-0.63952150908672645</v>
      </c>
      <c r="E11" s="374">
        <f>IF(constants!$O$4=1,Data!D11,-Data!D11)</f>
        <v>-7.361398665746492</v>
      </c>
      <c r="F11" s="374">
        <f>IF(constants!$O$5=1,Data!E11,-Data!E11)</f>
        <v>-1.5999999999999999</v>
      </c>
      <c r="G11" s="374">
        <f>IF(constants!$O$6=1,Data!F11,-Data!F11)</f>
        <v>3.4374999999999996</v>
      </c>
      <c r="H11" s="391">
        <f>IF(constants!$O$7=1,Data!G11,-Data!G11)</f>
        <v>0</v>
      </c>
    </row>
    <row r="12" spans="1:8">
      <c r="A12" s="516"/>
      <c r="B12" s="372">
        <f>Data!A12</f>
        <v>0.09</v>
      </c>
      <c r="C12" s="374">
        <f>IF(constants!$O$2=1,Data!B12,-Data!B12)</f>
        <v>-3.3016304347826084E-2</v>
      </c>
      <c r="D12" s="374">
        <f>IF(constants!$O$3=1,Data!C12,-Data!C12)</f>
        <v>-0.71234472049689446</v>
      </c>
      <c r="E12" s="374">
        <f>IF(constants!$O$4=1,Data!D12,-Data!D12)</f>
        <v>-7.2032436162870948</v>
      </c>
      <c r="F12" s="374">
        <f>IF(constants!$O$5=1,Data!E12,-Data!E12)</f>
        <v>-1.565625</v>
      </c>
      <c r="G12" s="374">
        <f>IF(constants!$O$6=1,Data!F12,-Data!F12)</f>
        <v>3.4374999999999996</v>
      </c>
      <c r="H12" s="391">
        <f>IF(constants!$O$7=1,Data!G12,-Data!G12)</f>
        <v>0</v>
      </c>
    </row>
    <row r="13" spans="1:8">
      <c r="A13" s="516"/>
      <c r="B13" s="372">
        <f>Data!A13</f>
        <v>0.1</v>
      </c>
      <c r="C13" s="374">
        <f>IF(constants!$O$2=1,Data!B13,-Data!B13)</f>
        <v>-4.0497277816118407E-2</v>
      </c>
      <c r="D13" s="374">
        <f>IF(constants!$O$3=1,Data!C13,-Data!C13)</f>
        <v>-0.78358638141246839</v>
      </c>
      <c r="E13" s="374">
        <f>IF(constants!$O$4=1,Data!D13,-Data!D13)</f>
        <v>-7.0450885668276975</v>
      </c>
      <c r="F13" s="374">
        <f>IF(constants!$O$5=1,Data!E13,-Data!E13)</f>
        <v>-1.53125</v>
      </c>
      <c r="G13" s="374">
        <f>IF(constants!$O$6=1,Data!F13,-Data!F13)</f>
        <v>3.4374999999999996</v>
      </c>
      <c r="H13" s="391">
        <f>IF(constants!$O$7=1,Data!G13,-Data!G13)</f>
        <v>0</v>
      </c>
    </row>
    <row r="14" spans="1:8">
      <c r="A14" s="516"/>
      <c r="B14" s="372">
        <f>Data!A14</f>
        <v>0.11</v>
      </c>
      <c r="C14" s="374">
        <f>IF(constants!$O$2=1,Data!B14,-Data!B14)</f>
        <v>-4.8682760141093476E-2</v>
      </c>
      <c r="D14" s="374">
        <f>IF(constants!$O$3=1,Data!C14,-Data!C14)</f>
        <v>-0.85324649183344836</v>
      </c>
      <c r="E14" s="374">
        <f>IF(constants!$O$4=1,Data!D14,-Data!D14)</f>
        <v>-6.8869335173683002</v>
      </c>
      <c r="F14" s="374">
        <f>IF(constants!$O$5=1,Data!E14,-Data!E14)</f>
        <v>-1.496875</v>
      </c>
      <c r="G14" s="374">
        <f>IF(constants!$O$6=1,Data!F14,-Data!F14)</f>
        <v>3.4374999999999996</v>
      </c>
      <c r="H14" s="391">
        <f>IF(constants!$O$7=1,Data!G14,-Data!G14)</f>
        <v>0</v>
      </c>
    </row>
    <row r="15" spans="1:8">
      <c r="A15" s="516"/>
      <c r="B15" s="372">
        <f>Data!A15</f>
        <v>0.12</v>
      </c>
      <c r="C15" s="374">
        <f>IF(constants!$O$2=1,Data!B15,-Data!B15)</f>
        <v>-5.7556935817805382E-2</v>
      </c>
      <c r="D15" s="374">
        <f>IF(constants!$O$3=1,Data!C15,-Data!C15)</f>
        <v>-0.92132505175983437</v>
      </c>
      <c r="E15" s="374">
        <f>IF(constants!$O$4=1,Data!D15,-Data!D15)</f>
        <v>-6.7287784679089029</v>
      </c>
      <c r="F15" s="374">
        <f>IF(constants!$O$5=1,Data!E15,-Data!E15)</f>
        <v>-1.4624999999999999</v>
      </c>
      <c r="G15" s="374">
        <f>IF(constants!$O$6=1,Data!F15,-Data!F15)</f>
        <v>3.4374999999999996</v>
      </c>
      <c r="H15" s="391">
        <f>IF(constants!$O$7=1,Data!G15,-Data!G15)</f>
        <v>0</v>
      </c>
    </row>
    <row r="16" spans="1:8">
      <c r="A16" s="516"/>
      <c r="B16" s="372">
        <f>Data!A16</f>
        <v>0.13</v>
      </c>
      <c r="C16" s="374">
        <f>IF(constants!$O$2=1,Data!B16,-Data!B16)</f>
        <v>-6.7103989341308193E-2</v>
      </c>
      <c r="D16" s="374">
        <f>IF(constants!$O$3=1,Data!C16,-Data!C16)</f>
        <v>-0.98782206119162641</v>
      </c>
      <c r="E16" s="374">
        <f>IF(constants!$O$4=1,Data!D16,-Data!D16)</f>
        <v>-6.5706234184495056</v>
      </c>
      <c r="F16" s="374">
        <f>IF(constants!$O$5=1,Data!E16,-Data!E16)</f>
        <v>-1.4281249999999999</v>
      </c>
      <c r="G16" s="374">
        <f>IF(constants!$O$6=1,Data!F16,-Data!F16)</f>
        <v>3.4374999999999996</v>
      </c>
      <c r="H16" s="391">
        <f>IF(constants!$O$7=1,Data!G16,-Data!G16)</f>
        <v>0</v>
      </c>
    </row>
    <row r="17" spans="1:8">
      <c r="A17" s="516"/>
      <c r="B17" s="372">
        <f>Data!A17</f>
        <v>0.14000000000000001</v>
      </c>
      <c r="C17" s="374">
        <f>IF(constants!$O$2=1,Data!B17,-Data!B17)</f>
        <v>-7.7308105206655944E-2</v>
      </c>
      <c r="D17" s="374">
        <f>IF(constants!$O$3=1,Data!C17,-Data!C17)</f>
        <v>-1.0527375201288247</v>
      </c>
      <c r="E17" s="374">
        <f>IF(constants!$O$4=1,Data!D17,-Data!D17)</f>
        <v>-6.4124683689901083</v>
      </c>
      <c r="F17" s="374">
        <f>IF(constants!$O$5=1,Data!E17,-Data!E17)</f>
        <v>-1.39375</v>
      </c>
      <c r="G17" s="374">
        <f>IF(constants!$O$6=1,Data!F17,-Data!F17)</f>
        <v>3.4374999999999996</v>
      </c>
      <c r="H17" s="391">
        <f>IF(constants!$O$7=1,Data!G17,-Data!G17)</f>
        <v>0</v>
      </c>
    </row>
    <row r="18" spans="1:8">
      <c r="A18" s="516"/>
      <c r="B18" s="372">
        <f>Data!A18</f>
        <v>0.15</v>
      </c>
      <c r="C18" s="374">
        <f>IF(constants!$O$2=1,Data!B18,-Data!B18)</f>
        <v>-8.8153467908902688E-2</v>
      </c>
      <c r="D18" s="374">
        <f>IF(constants!$O$3=1,Data!C18,-Data!C18)</f>
        <v>-1.1160714285714286</v>
      </c>
      <c r="E18" s="374">
        <f>IF(constants!$O$4=1,Data!D18,-Data!D18)</f>
        <v>-6.254313319530711</v>
      </c>
      <c r="F18" s="374">
        <f>IF(constants!$O$5=1,Data!E18,-Data!E18)</f>
        <v>-1.359375</v>
      </c>
      <c r="G18" s="374">
        <f>IF(constants!$O$6=1,Data!F18,-Data!F18)</f>
        <v>3.4374999999999996</v>
      </c>
      <c r="H18" s="391">
        <f>IF(constants!$O$7=1,Data!G18,-Data!G18)</f>
        <v>0</v>
      </c>
    </row>
    <row r="19" spans="1:8">
      <c r="A19" s="516"/>
      <c r="B19" s="372">
        <f>Data!A19</f>
        <v>0.16</v>
      </c>
      <c r="C19" s="374">
        <f>IF(constants!$O$2=1,Data!B19,-Data!B19)</f>
        <v>-9.9624261943102532E-2</v>
      </c>
      <c r="D19" s="374">
        <f>IF(constants!$O$3=1,Data!C19,-Data!C19)</f>
        <v>-1.1778237865194388</v>
      </c>
      <c r="E19" s="374">
        <f>IF(constants!$O$4=1,Data!D19,-Data!D19)</f>
        <v>-6.0961582700713137</v>
      </c>
      <c r="F19" s="374">
        <f>IF(constants!$O$5=1,Data!E19,-Data!E19)</f>
        <v>-1.325</v>
      </c>
      <c r="G19" s="374">
        <f>IF(constants!$O$6=1,Data!F19,-Data!F19)</f>
        <v>3.4374999999999996</v>
      </c>
      <c r="H19" s="391">
        <f>IF(constants!$O$7=1,Data!G19,-Data!G19)</f>
        <v>0</v>
      </c>
    </row>
    <row r="20" spans="1:8">
      <c r="A20" s="516"/>
      <c r="B20" s="372">
        <f>Data!A20</f>
        <v>0.17</v>
      </c>
      <c r="C20" s="374">
        <f>IF(constants!$O$2=1,Data!B20,-Data!B20)</f>
        <v>-0.11170467180430951</v>
      </c>
      <c r="D20" s="374">
        <f>IF(constants!$O$3=1,Data!C20,-Data!C20)</f>
        <v>-1.2379945939728549</v>
      </c>
      <c r="E20" s="374">
        <f>IF(constants!$O$4=1,Data!D20,-Data!D20)</f>
        <v>-5.9380032206119164</v>
      </c>
      <c r="F20" s="374">
        <f>IF(constants!$O$5=1,Data!E20,-Data!E20)</f>
        <v>-1.2906249999999999</v>
      </c>
      <c r="G20" s="374">
        <f>IF(constants!$O$6=1,Data!F20,-Data!F20)</f>
        <v>3.4374999999999996</v>
      </c>
      <c r="H20" s="391">
        <f>IF(constants!$O$7=1,Data!G20,-Data!G20)</f>
        <v>0</v>
      </c>
    </row>
    <row r="21" spans="1:8">
      <c r="A21" s="516"/>
      <c r="B21" s="372">
        <f>Data!A21</f>
        <v>0.18</v>
      </c>
      <c r="C21" s="374">
        <f>IF(constants!$O$2=1,Data!B21,-Data!B21)</f>
        <v>-0.12437888198757763</v>
      </c>
      <c r="D21" s="374">
        <f>IF(constants!$O$3=1,Data!C21,-Data!C21)</f>
        <v>-1.2965838509316772</v>
      </c>
      <c r="E21" s="374">
        <f>IF(constants!$O$4=1,Data!D21,-Data!D21)</f>
        <v>-5.7798481711525191</v>
      </c>
      <c r="F21" s="374">
        <f>IF(constants!$O$5=1,Data!E21,-Data!E21)</f>
        <v>-1.2562499999999999</v>
      </c>
      <c r="G21" s="374">
        <f>IF(constants!$O$6=1,Data!F21,-Data!F21)</f>
        <v>3.4374999999999996</v>
      </c>
      <c r="H21" s="391">
        <f>IF(constants!$O$7=1,Data!G21,-Data!G21)</f>
        <v>0</v>
      </c>
    </row>
    <row r="22" spans="1:8">
      <c r="A22" s="516"/>
      <c r="B22" s="372">
        <f>Data!A22</f>
        <v>0.19</v>
      </c>
      <c r="C22" s="374">
        <f>IF(constants!$O$2=1,Data!B22,-Data!B22)</f>
        <v>-0.13763107698796107</v>
      </c>
      <c r="D22" s="374">
        <f>IF(constants!$O$3=1,Data!C22,-Data!C22)</f>
        <v>-1.3535915573959052</v>
      </c>
      <c r="E22" s="374">
        <f>IF(constants!$O$4=1,Data!D22,-Data!D22)</f>
        <v>-5.6216931216931219</v>
      </c>
      <c r="F22" s="374">
        <f>IF(constants!$O$5=1,Data!E22,-Data!E22)</f>
        <v>-1.221875</v>
      </c>
      <c r="G22" s="374">
        <f>IF(constants!$O$6=1,Data!F22,-Data!F22)</f>
        <v>3.4374999999999996</v>
      </c>
      <c r="H22" s="391">
        <f>IF(constants!$O$7=1,Data!G22,-Data!G22)</f>
        <v>0</v>
      </c>
    </row>
    <row r="23" spans="1:8">
      <c r="A23" s="516"/>
      <c r="B23" s="372">
        <f>Data!A23</f>
        <v>0.2</v>
      </c>
      <c r="C23" s="374">
        <f>IF(constants!$O$2=1,Data!B23,-Data!B23)</f>
        <v>-0.15144544130051379</v>
      </c>
      <c r="D23" s="374">
        <f>IF(constants!$O$3=1,Data!C23,-Data!C23)</f>
        <v>-1.4090177133655395</v>
      </c>
      <c r="E23" s="374">
        <f>IF(constants!$O$4=1,Data!D23,-Data!D23)</f>
        <v>-5.4635380722337246</v>
      </c>
      <c r="F23" s="374">
        <f>IF(constants!$O$5=1,Data!E23,-Data!E23)</f>
        <v>-1.1875</v>
      </c>
      <c r="G23" s="374">
        <f>IF(constants!$O$6=1,Data!F23,-Data!F23)</f>
        <v>3.4374999999999996</v>
      </c>
      <c r="H23" s="391">
        <f>IF(constants!$O$7=1,Data!G23,-Data!G23)</f>
        <v>0</v>
      </c>
    </row>
    <row r="24" spans="1:8">
      <c r="A24" s="516"/>
      <c r="B24" s="372">
        <f>Data!A24</f>
        <v>0.21</v>
      </c>
      <c r="C24" s="374">
        <f>IF(constants!$O$2=1,Data!B24,-Data!B24)</f>
        <v>-0.16580615942028984</v>
      </c>
      <c r="D24" s="374">
        <f>IF(constants!$O$3=1,Data!C24,-Data!C24)</f>
        <v>-1.4628623188405798</v>
      </c>
      <c r="E24" s="374">
        <f>IF(constants!$O$4=1,Data!D24,-Data!D24)</f>
        <v>-5.3053830227743273</v>
      </c>
      <c r="F24" s="374">
        <f>IF(constants!$O$5=1,Data!E24,-Data!E24)</f>
        <v>-1.153125</v>
      </c>
      <c r="G24" s="374">
        <f>IF(constants!$O$6=1,Data!F24,-Data!F24)</f>
        <v>3.4374999999999996</v>
      </c>
      <c r="H24" s="391">
        <f>IF(constants!$O$7=1,Data!G24,-Data!G24)</f>
        <v>0</v>
      </c>
    </row>
    <row r="25" spans="1:8">
      <c r="A25" s="516"/>
      <c r="B25" s="372">
        <f>Data!A25</f>
        <v>0.22</v>
      </c>
      <c r="C25" s="374">
        <f>IF(constants!$O$2=1,Data!B25,-Data!B25)</f>
        <v>-0.18069741584234339</v>
      </c>
      <c r="D25" s="374">
        <f>IF(constants!$O$3=1,Data!C25,-Data!C25)</f>
        <v>-1.515125373821026</v>
      </c>
      <c r="E25" s="374">
        <f>IF(constants!$O$4=1,Data!D25,-Data!D25)</f>
        <v>-5.14722797331493</v>
      </c>
      <c r="F25" s="374">
        <f>IF(constants!$O$5=1,Data!E25,-Data!E25)</f>
        <v>-1.1187499999999999</v>
      </c>
      <c r="G25" s="374">
        <f>IF(constants!$O$6=1,Data!F25,-Data!F25)</f>
        <v>3.4374999999999996</v>
      </c>
      <c r="H25" s="391">
        <f>IF(constants!$O$7=1,Data!G25,-Data!G25)</f>
        <v>0</v>
      </c>
    </row>
    <row r="26" spans="1:8">
      <c r="A26" s="516"/>
      <c r="B26" s="372">
        <f>Data!A26</f>
        <v>0.23</v>
      </c>
      <c r="C26" s="374">
        <f>IF(constants!$O$2=1,Data!B26,-Data!B26)</f>
        <v>-0.19610339506172841</v>
      </c>
      <c r="D26" s="374">
        <f>IF(constants!$O$3=1,Data!C26,-Data!C26)</f>
        <v>-1.5658068783068784</v>
      </c>
      <c r="E26" s="374">
        <f>IF(constants!$O$4=1,Data!D26,-Data!D26)</f>
        <v>-4.9890729238555327</v>
      </c>
      <c r="F26" s="374">
        <f>IF(constants!$O$5=1,Data!E26,-Data!E26)</f>
        <v>-1.0843749999999999</v>
      </c>
      <c r="G26" s="374">
        <f>IF(constants!$O$6=1,Data!F26,-Data!F26)</f>
        <v>3.4374999999999996</v>
      </c>
      <c r="H26" s="391">
        <f>IF(constants!$O$7=1,Data!G26,-Data!G26)</f>
        <v>0</v>
      </c>
    </row>
    <row r="27" spans="1:8">
      <c r="A27" s="516"/>
      <c r="B27" s="372">
        <f>Data!A27</f>
        <v>0.24</v>
      </c>
      <c r="C27" s="374">
        <f>IF(constants!$O$2=1,Data!B27,-Data!B27)</f>
        <v>-0.21200828157349896</v>
      </c>
      <c r="D27" s="374">
        <f>IF(constants!$O$3=1,Data!C27,-Data!C27)</f>
        <v>-1.6149068322981366</v>
      </c>
      <c r="E27" s="374">
        <f>IF(constants!$O$4=1,Data!D27,-Data!D27)</f>
        <v>-4.8309178743961354</v>
      </c>
      <c r="F27" s="374">
        <f>IF(constants!$O$5=1,Data!E27,-Data!E27)</f>
        <v>-1.05</v>
      </c>
      <c r="G27" s="374">
        <f>IF(constants!$O$6=1,Data!F27,-Data!F27)</f>
        <v>3.4374999999999996</v>
      </c>
      <c r="H27" s="391">
        <f>IF(constants!$O$7=1,Data!G27,-Data!G27)</f>
        <v>0</v>
      </c>
    </row>
    <row r="28" spans="1:8">
      <c r="A28" s="516"/>
      <c r="B28" s="372">
        <f>Data!A28</f>
        <v>0.25</v>
      </c>
      <c r="C28" s="374">
        <f>IF(constants!$O$2=1,Data!B28,-Data!B28)</f>
        <v>-0.22839625987270917</v>
      </c>
      <c r="D28" s="374">
        <f>IF(constants!$O$3=1,Data!C28,-Data!C28)</f>
        <v>-1.6624252357948011</v>
      </c>
      <c r="E28" s="374">
        <f>IF(constants!$O$4=1,Data!D28,-Data!D28)</f>
        <v>-4.6727628249367381</v>
      </c>
      <c r="F28" s="374">
        <f>IF(constants!$O$5=1,Data!E28,-Data!E28)</f>
        <v>-1.015625</v>
      </c>
      <c r="G28" s="374">
        <f>IF(constants!$O$6=1,Data!F28,-Data!F28)</f>
        <v>3.4374999999999996</v>
      </c>
      <c r="H28" s="391">
        <f>IF(constants!$O$7=1,Data!G28,-Data!G28)</f>
        <v>0</v>
      </c>
    </row>
    <row r="29" spans="1:8">
      <c r="A29" s="516"/>
      <c r="B29" s="372">
        <f>Data!A29</f>
        <v>0.26</v>
      </c>
      <c r="C29" s="374">
        <f>IF(constants!$O$2=1,Data!B29,-Data!B29)</f>
        <v>-0.24525151445441304</v>
      </c>
      <c r="D29" s="374">
        <f>IF(constants!$O$3=1,Data!C29,-Data!C29)</f>
        <v>-1.7083620887968713</v>
      </c>
      <c r="E29" s="374">
        <f>IF(constants!$O$4=1,Data!D29,-Data!D29)</f>
        <v>-4.5146077754773408</v>
      </c>
      <c r="F29" s="374">
        <f>IF(constants!$O$5=1,Data!E29,-Data!E29)</f>
        <v>-0.98124999999999996</v>
      </c>
      <c r="G29" s="374">
        <f>IF(constants!$O$6=1,Data!F29,-Data!F29)</f>
        <v>3.4374999999999996</v>
      </c>
      <c r="H29" s="391">
        <f>IF(constants!$O$7=1,Data!G29,-Data!G29)</f>
        <v>0</v>
      </c>
    </row>
    <row r="30" spans="1:8">
      <c r="A30" s="516"/>
      <c r="B30" s="372">
        <f>Data!A30</f>
        <v>0.27</v>
      </c>
      <c r="C30" s="374">
        <f>IF(constants!$O$2=1,Data!B30,-Data!B30)</f>
        <v>-0.26255822981366461</v>
      </c>
      <c r="D30" s="374">
        <f>IF(constants!$O$3=1,Data!C30,-Data!C30)</f>
        <v>-1.7527173913043479</v>
      </c>
      <c r="E30" s="374">
        <f>IF(constants!$O$4=1,Data!D30,-Data!D30)</f>
        <v>-4.3564527260179435</v>
      </c>
      <c r="F30" s="374">
        <f>IF(constants!$O$5=1,Data!E30,-Data!E30)</f>
        <v>-0.94687500000000002</v>
      </c>
      <c r="G30" s="374">
        <f>IF(constants!$O$6=1,Data!F30,-Data!F30)</f>
        <v>3.4374999999999996</v>
      </c>
      <c r="H30" s="391">
        <f>IF(constants!$O$7=1,Data!G30,-Data!G30)</f>
        <v>0</v>
      </c>
    </row>
    <row r="31" spans="1:8">
      <c r="A31" s="516"/>
      <c r="B31" s="372">
        <f>Data!A31</f>
        <v>0.28000000000000003</v>
      </c>
      <c r="C31" s="374">
        <f>IF(constants!$O$2=1,Data!B31,-Data!B31)</f>
        <v>-0.28030059044551803</v>
      </c>
      <c r="D31" s="374">
        <f>IF(constants!$O$3=1,Data!C31,-Data!C31)</f>
        <v>-1.7954911433172307</v>
      </c>
      <c r="E31" s="374">
        <f>IF(constants!$O$4=1,Data!D31,-Data!D31)</f>
        <v>-4.1982976765585462</v>
      </c>
      <c r="F31" s="374">
        <f>IF(constants!$O$5=1,Data!E31,-Data!E31)</f>
        <v>-0.91249999999999998</v>
      </c>
      <c r="G31" s="374">
        <f>IF(constants!$O$6=1,Data!F31,-Data!F31)</f>
        <v>3.4374999999999996</v>
      </c>
      <c r="H31" s="391">
        <f>IF(constants!$O$7=1,Data!G31,-Data!G31)</f>
        <v>0</v>
      </c>
    </row>
    <row r="32" spans="1:8">
      <c r="A32" s="516"/>
      <c r="B32" s="372">
        <f>Data!A32</f>
        <v>0.28999999999999998</v>
      </c>
      <c r="C32" s="374">
        <f>IF(constants!$O$2=1,Data!B32,-Data!B32)</f>
        <v>-0.2984627808450272</v>
      </c>
      <c r="D32" s="374">
        <f>IF(constants!$O$3=1,Data!C32,-Data!C32)</f>
        <v>-1.8366833448355191</v>
      </c>
      <c r="E32" s="374">
        <f>IF(constants!$O$4=1,Data!D32,-Data!D32)</f>
        <v>-4.0401426270991498</v>
      </c>
      <c r="F32" s="374">
        <f>IF(constants!$O$5=1,Data!E32,-Data!E32)</f>
        <v>-0.87812500000000016</v>
      </c>
      <c r="G32" s="374">
        <f>IF(constants!$O$6=1,Data!F32,-Data!F32)</f>
        <v>3.4374999999999996</v>
      </c>
      <c r="H32" s="391">
        <f>IF(constants!$O$7=1,Data!G32,-Data!G32)</f>
        <v>0</v>
      </c>
    </row>
    <row r="33" spans="1:8">
      <c r="A33" s="516"/>
      <c r="B33" s="372">
        <f>Data!A33</f>
        <v>0.3</v>
      </c>
      <c r="C33" s="374">
        <f>IF(constants!$O$2=1,Data!B33,-Data!B33)</f>
        <v>-0.3170289855072464</v>
      </c>
      <c r="D33" s="374">
        <f>IF(constants!$O$3=1,Data!C33,-Data!C33)</f>
        <v>-1.8762939958592133</v>
      </c>
      <c r="E33" s="374">
        <f>IF(constants!$O$4=1,Data!D33,-Data!D33)</f>
        <v>-3.8819875776397526</v>
      </c>
      <c r="F33" s="374">
        <f>IF(constants!$O$5=1,Data!E33,-Data!E33)</f>
        <v>-0.84375000000000022</v>
      </c>
      <c r="G33" s="374">
        <f>IF(constants!$O$6=1,Data!F33,-Data!F33)</f>
        <v>3.4374999999999996</v>
      </c>
      <c r="H33" s="391">
        <f>IF(constants!$O$7=1,Data!G33,-Data!G33)</f>
        <v>0</v>
      </c>
    </row>
    <row r="34" spans="1:8">
      <c r="A34" s="516"/>
      <c r="B34" s="372">
        <f>Data!A34</f>
        <v>0.31</v>
      </c>
      <c r="C34" s="374">
        <f>IF(constants!$O$2=1,Data!B34,-Data!B34)</f>
        <v>-0.33598338892722956</v>
      </c>
      <c r="D34" s="374">
        <f>IF(constants!$O$3=1,Data!C34,-Data!C34)</f>
        <v>-1.9143230963883138</v>
      </c>
      <c r="E34" s="374">
        <f>IF(constants!$O$4=1,Data!D34,-Data!D34)</f>
        <v>-3.7238325281803553</v>
      </c>
      <c r="F34" s="374">
        <f>IF(constants!$O$5=1,Data!E34,-Data!E34)</f>
        <v>-0.80937500000000018</v>
      </c>
      <c r="G34" s="374">
        <f>IF(constants!$O$6=1,Data!F34,-Data!F34)</f>
        <v>3.4374999999999996</v>
      </c>
      <c r="H34" s="391">
        <f>IF(constants!$O$7=1,Data!G34,-Data!G34)</f>
        <v>0</v>
      </c>
    </row>
    <row r="35" spans="1:8">
      <c r="A35" s="516"/>
      <c r="B35" s="372">
        <f>Data!A35</f>
        <v>0.32</v>
      </c>
      <c r="C35" s="374">
        <f>IF(constants!$O$2=1,Data!B35,-Data!B35)</f>
        <v>-0.3553101756000307</v>
      </c>
      <c r="D35" s="374">
        <f>IF(constants!$O$3=1,Data!C35,-Data!C35)</f>
        <v>-1.9507706464228205</v>
      </c>
      <c r="E35" s="374">
        <f>IF(constants!$O$4=1,Data!D35,-Data!D35)</f>
        <v>-3.565677478720958</v>
      </c>
      <c r="F35" s="374">
        <f>IF(constants!$O$5=1,Data!E35,-Data!E35)</f>
        <v>-0.77500000000000013</v>
      </c>
      <c r="G35" s="374">
        <f>IF(constants!$O$6=1,Data!F35,-Data!F35)</f>
        <v>3.4374999999999996</v>
      </c>
      <c r="H35" s="391">
        <f>IF(constants!$O$7=1,Data!G35,-Data!G35)</f>
        <v>0</v>
      </c>
    </row>
    <row r="36" spans="1:8">
      <c r="A36" s="516"/>
      <c r="B36" s="372">
        <f>Data!A36</f>
        <v>0.33</v>
      </c>
      <c r="C36" s="374">
        <f>IF(constants!$O$2=1,Data!B36,-Data!B36)</f>
        <v>-0.37499353002070396</v>
      </c>
      <c r="D36" s="374">
        <f>IF(constants!$O$3=1,Data!C36,-Data!C36)</f>
        <v>-1.985636645962733</v>
      </c>
      <c r="E36" s="374">
        <f>IF(constants!$O$4=1,Data!D36,-Data!D36)</f>
        <v>-3.4075224292615607</v>
      </c>
      <c r="F36" s="374">
        <f>IF(constants!$O$5=1,Data!E36,-Data!E36)</f>
        <v>-0.7406250000000002</v>
      </c>
      <c r="G36" s="374">
        <f>IF(constants!$O$6=1,Data!F36,-Data!F36)</f>
        <v>3.4374999999999996</v>
      </c>
      <c r="H36" s="391">
        <f>IF(constants!$O$7=1,Data!G36,-Data!G36)</f>
        <v>0</v>
      </c>
    </row>
    <row r="37" spans="1:8">
      <c r="A37" s="516"/>
      <c r="B37" s="372">
        <f>Data!A37</f>
        <v>0.34</v>
      </c>
      <c r="C37" s="374">
        <f>IF(constants!$O$2=1,Data!B37,-Data!B37)</f>
        <v>-0.39501763668430345</v>
      </c>
      <c r="D37" s="374">
        <f>IF(constants!$O$3=1,Data!C37,-Data!C37)</f>
        <v>-2.0189210950080514</v>
      </c>
      <c r="E37" s="374">
        <f>IF(constants!$O$4=1,Data!D37,-Data!D37)</f>
        <v>-3.2493673798021634</v>
      </c>
      <c r="F37" s="374">
        <f>IF(constants!$O$5=1,Data!E37,-Data!E37)</f>
        <v>-0.70625000000000016</v>
      </c>
      <c r="G37" s="374">
        <f>IF(constants!$O$6=1,Data!F37,-Data!F37)</f>
        <v>3.4374999999999996</v>
      </c>
      <c r="H37" s="391">
        <f>IF(constants!$O$7=1,Data!G37,-Data!G37)</f>
        <v>0</v>
      </c>
    </row>
    <row r="38" spans="1:8">
      <c r="A38" s="516"/>
      <c r="B38" s="372">
        <f>Data!A38</f>
        <v>0.35</v>
      </c>
      <c r="C38" s="374">
        <f>IF(constants!$O$2=1,Data!B38,-Data!B38)</f>
        <v>-0.41536668008588296</v>
      </c>
      <c r="D38" s="374">
        <f>IF(constants!$O$3=1,Data!C38,-Data!C38)</f>
        <v>-2.0506239935587764</v>
      </c>
      <c r="E38" s="374">
        <f>IF(constants!$O$4=1,Data!D38,-Data!D38)</f>
        <v>-3.091212330342767</v>
      </c>
      <c r="F38" s="374">
        <f>IF(constants!$O$5=1,Data!E38,-Data!E38)</f>
        <v>-0.67187500000000033</v>
      </c>
      <c r="G38" s="374">
        <f>IF(constants!$O$6=1,Data!F38,-Data!F38)</f>
        <v>3.4374999999999996</v>
      </c>
      <c r="H38" s="391">
        <f>IF(constants!$O$7=1,Data!G38,-Data!G38)</f>
        <v>0</v>
      </c>
    </row>
    <row r="39" spans="1:8">
      <c r="A39" s="516"/>
      <c r="B39" s="372">
        <f>Data!A39</f>
        <v>0.36</v>
      </c>
      <c r="C39" s="374">
        <f>IF(constants!$O$2=1,Data!B39,-Data!B39)</f>
        <v>-0.43602484472049685</v>
      </c>
      <c r="D39" s="374">
        <f>IF(constants!$O$3=1,Data!C39,-Data!C39)</f>
        <v>-2.0807453416149073</v>
      </c>
      <c r="E39" s="374">
        <f>IF(constants!$O$4=1,Data!D39,-Data!D39)</f>
        <v>-2.9330572808833679</v>
      </c>
      <c r="F39" s="374">
        <f>IF(constants!$O$5=1,Data!E39,-Data!E39)</f>
        <v>-0.63749999999999996</v>
      </c>
      <c r="G39" s="374">
        <f>IF(constants!$O$6=1,Data!F39,-Data!F39)</f>
        <v>3.4374999999999996</v>
      </c>
      <c r="H39" s="391">
        <f>IF(constants!$O$7=1,Data!G39,-Data!G39)</f>
        <v>0</v>
      </c>
    </row>
    <row r="40" spans="1:8">
      <c r="A40" s="516"/>
      <c r="B40" s="372">
        <f>Data!A40</f>
        <v>0.37</v>
      </c>
      <c r="C40" s="374">
        <f>IF(constants!$O$2=1,Data!B40,-Data!B40)</f>
        <v>-0.45697631508319919</v>
      </c>
      <c r="D40" s="374">
        <f>IF(constants!$O$3=1,Data!C40,-Data!C40)</f>
        <v>-2.1092851391764436</v>
      </c>
      <c r="E40" s="374">
        <f>IF(constants!$O$4=1,Data!D40,-Data!D40)</f>
        <v>-2.7749022314239715</v>
      </c>
      <c r="F40" s="374">
        <f>IF(constants!$O$5=1,Data!E40,-Data!E40)</f>
        <v>-0.60312500000000013</v>
      </c>
      <c r="G40" s="374">
        <f>IF(constants!$O$6=1,Data!F40,-Data!F40)</f>
        <v>3.4374999999999996</v>
      </c>
      <c r="H40" s="391">
        <f>IF(constants!$O$7=1,Data!G40,-Data!G40)</f>
        <v>0</v>
      </c>
    </row>
    <row r="41" spans="1:8">
      <c r="A41" s="516"/>
      <c r="B41" s="372">
        <f>Data!A41</f>
        <v>0.38</v>
      </c>
      <c r="C41" s="374">
        <f>IF(constants!$O$2=1,Data!B41,-Data!B41)</f>
        <v>-0.47820527566904381</v>
      </c>
      <c r="D41" s="374">
        <f>IF(constants!$O$3=1,Data!C41,-Data!C41)</f>
        <v>-2.1362433862433861</v>
      </c>
      <c r="E41" s="374">
        <f>IF(constants!$O$4=1,Data!D41,-Data!D41)</f>
        <v>-2.6167471819645733</v>
      </c>
      <c r="F41" s="374">
        <f>IF(constants!$O$5=1,Data!E41,-Data!E41)</f>
        <v>-0.56874999999999998</v>
      </c>
      <c r="G41" s="374">
        <f>IF(constants!$O$6=1,Data!F41,-Data!F41)</f>
        <v>3.4374999999999996</v>
      </c>
      <c r="H41" s="391">
        <f>IF(constants!$O$7=1,Data!G41,-Data!G41)</f>
        <v>0</v>
      </c>
    </row>
    <row r="42" spans="1:8">
      <c r="A42" s="516"/>
      <c r="B42" s="372">
        <f>Data!A42</f>
        <v>0.38</v>
      </c>
      <c r="C42" s="374">
        <f>IF(constants!$O$2=1,Data!B42,-Data!B42)</f>
        <v>-0.47820527566904381</v>
      </c>
      <c r="D42" s="374">
        <f>IF(constants!$O$3=1,Data!C42,-Data!C42)</f>
        <v>-2.1362433862433861</v>
      </c>
      <c r="E42" s="374">
        <f>IF(constants!$O$4=1,Data!D42,-Data!D42)</f>
        <v>-2.6167471819645733</v>
      </c>
      <c r="F42" s="374">
        <f>IF(constants!$O$5=1,Data!E42,-Data!E42)</f>
        <v>-0.56874999999999998</v>
      </c>
      <c r="G42" s="374">
        <f>IF(constants!$O$6=1,Data!F42,-Data!F42)</f>
        <v>3.4374999999999996</v>
      </c>
      <c r="H42" s="391">
        <f>IF(constants!$O$7=1,Data!G42,-Data!G42)</f>
        <v>0</v>
      </c>
    </row>
    <row r="43" spans="1:8">
      <c r="A43" s="516"/>
      <c r="B43" s="372">
        <f>Data!A43</f>
        <v>0.4</v>
      </c>
      <c r="C43" s="374">
        <f>IF(constants!$O$2=1,Data!B43,-Data!B43)</f>
        <v>-0.52143240549037662</v>
      </c>
      <c r="D43" s="374">
        <f>IF(constants!$O$3=1,Data!C43,-Data!C43)</f>
        <v>-2.1854152288934898</v>
      </c>
      <c r="E43" s="374">
        <f>IF(constants!$O$4=1,Data!D43,-Data!D43)</f>
        <v>-2.3004370830457788</v>
      </c>
      <c r="F43" s="374">
        <f>IF(constants!$O$5=1,Data!E43,-Data!E43)</f>
        <v>-0.5</v>
      </c>
      <c r="G43" s="374">
        <f>IF(constants!$O$6=1,Data!F43,-Data!F43)</f>
        <v>3.4374999999999996</v>
      </c>
      <c r="H43" s="391">
        <f>IF(constants!$O$7=1,Data!G43,-Data!G43)</f>
        <v>0</v>
      </c>
    </row>
    <row r="44" spans="1:8">
      <c r="A44" s="516"/>
      <c r="B44" s="372">
        <f>Data!A44</f>
        <v>0.41</v>
      </c>
      <c r="C44" s="374">
        <f>IF(constants!$O$2=1,Data!B44,-Data!B44)</f>
        <v>-0.54339894371597264</v>
      </c>
      <c r="D44" s="374">
        <f>IF(constants!$O$3=1,Data!C44,-Data!C44)</f>
        <v>-2.2076288244766511</v>
      </c>
      <c r="E44" s="374">
        <f>IF(constants!$O$4=1,Data!D44,-Data!D44)</f>
        <v>-2.1422820335863824</v>
      </c>
      <c r="F44" s="374">
        <f>IF(constants!$O$5=1,Data!E44,-Data!E44)</f>
        <v>-0.46562500000000018</v>
      </c>
      <c r="G44" s="374">
        <f>IF(constants!$O$6=1,Data!F44,-Data!F44)</f>
        <v>3.4374999999999996</v>
      </c>
      <c r="H44" s="391">
        <f>IF(constants!$O$7=1,Data!G44,-Data!G44)</f>
        <v>0</v>
      </c>
    </row>
    <row r="45" spans="1:8">
      <c r="A45" s="516"/>
      <c r="B45" s="372">
        <f>Data!A45</f>
        <v>0.42</v>
      </c>
      <c r="C45" s="374">
        <f>IF(constants!$O$2=1,Data!B45,-Data!B45)</f>
        <v>-0.56557971014492758</v>
      </c>
      <c r="D45" s="374">
        <f>IF(constants!$O$3=1,Data!C45,-Data!C45)</f>
        <v>-2.2282608695652177</v>
      </c>
      <c r="E45" s="374">
        <f>IF(constants!$O$4=1,Data!D45,-Data!D45)</f>
        <v>-1.9841269841269851</v>
      </c>
      <c r="F45" s="374">
        <f>IF(constants!$O$5=1,Data!E45,-Data!E45)</f>
        <v>-0.43125000000000019</v>
      </c>
      <c r="G45" s="374">
        <f>IF(constants!$O$6=1,Data!F45,-Data!F45)</f>
        <v>3.4374999999999996</v>
      </c>
      <c r="H45" s="391">
        <f>IF(constants!$O$7=1,Data!G45,-Data!G45)</f>
        <v>0</v>
      </c>
    </row>
    <row r="46" spans="1:8">
      <c r="A46" s="516"/>
      <c r="B46" s="372">
        <f>Data!A46</f>
        <v>0.43</v>
      </c>
      <c r="C46" s="374">
        <f>IF(constants!$O$2=1,Data!B46,-Data!B46)</f>
        <v>-0.587958889272295</v>
      </c>
      <c r="D46" s="374">
        <f>IF(constants!$O$3=1,Data!C46,-Data!C46)</f>
        <v>-2.2473113641591906</v>
      </c>
      <c r="E46" s="374">
        <f>IF(constants!$O$4=1,Data!D46,-Data!D46)</f>
        <v>-1.8259719346675878</v>
      </c>
      <c r="F46" s="374">
        <f>IF(constants!$O$5=1,Data!E46,-Data!E46)</f>
        <v>-0.3968750000000002</v>
      </c>
      <c r="G46" s="374">
        <f>IF(constants!$O$6=1,Data!F46,-Data!F46)</f>
        <v>3.4374999999999996</v>
      </c>
      <c r="H46" s="391">
        <f>IF(constants!$O$7=1,Data!G46,-Data!G46)</f>
        <v>0</v>
      </c>
    </row>
    <row r="47" spans="1:8">
      <c r="A47" s="516"/>
      <c r="B47" s="372">
        <f>Data!A47</f>
        <v>0.44</v>
      </c>
      <c r="C47" s="374">
        <f>IF(constants!$O$2=1,Data!B47,-Data!B47)</f>
        <v>-0.61052066559312945</v>
      </c>
      <c r="D47" s="374">
        <f>IF(constants!$O$3=1,Data!C47,-Data!C47)</f>
        <v>-2.2647803082585694</v>
      </c>
      <c r="E47" s="374">
        <f>IF(constants!$O$4=1,Data!D47,-Data!D47)</f>
        <v>-1.6678168852081905</v>
      </c>
      <c r="F47" s="374">
        <f>IF(constants!$O$5=1,Data!E47,-Data!E47)</f>
        <v>-0.36250000000000016</v>
      </c>
      <c r="G47" s="374">
        <f>IF(constants!$O$6=1,Data!F47,-Data!F47)</f>
        <v>3.4374999999999996</v>
      </c>
      <c r="H47" s="391">
        <f>IF(constants!$O$7=1,Data!G47,-Data!G47)</f>
        <v>0</v>
      </c>
    </row>
    <row r="48" spans="1:8">
      <c r="A48" s="516"/>
      <c r="B48" s="372">
        <f>Data!A48</f>
        <v>0.45</v>
      </c>
      <c r="C48" s="374">
        <f>IF(constants!$O$2=1,Data!B48,-Data!B48)</f>
        <v>-0.63324922360248459</v>
      </c>
      <c r="D48" s="374">
        <f>IF(constants!$O$3=1,Data!C48,-Data!C48)</f>
        <v>-2.2806677018633543</v>
      </c>
      <c r="E48" s="374">
        <f>IF(constants!$O$4=1,Data!D48,-Data!D48)</f>
        <v>-1.5096618357487923</v>
      </c>
      <c r="F48" s="374">
        <f>IF(constants!$O$5=1,Data!E48,-Data!E48)</f>
        <v>-0.328125</v>
      </c>
      <c r="G48" s="374">
        <f>IF(constants!$O$6=1,Data!F48,-Data!F48)</f>
        <v>3.4374999999999996</v>
      </c>
      <c r="H48" s="391">
        <f>IF(constants!$O$7=1,Data!G48,-Data!G48)</f>
        <v>0</v>
      </c>
    </row>
    <row r="49" spans="1:8">
      <c r="A49" s="516"/>
      <c r="B49" s="372">
        <f>Data!A49</f>
        <v>0.46</v>
      </c>
      <c r="C49" s="374">
        <f>IF(constants!$O$2=1,Data!B49,-Data!B49)</f>
        <v>-0.65612874779541452</v>
      </c>
      <c r="D49" s="374">
        <f>IF(constants!$O$3=1,Data!C49,-Data!C49)</f>
        <v>-2.2949735449735451</v>
      </c>
      <c r="E49" s="374">
        <f>IF(constants!$O$4=1,Data!D49,-Data!D49)</f>
        <v>-1.351506786289395</v>
      </c>
      <c r="F49" s="374">
        <f>IF(constants!$O$5=1,Data!E49,-Data!E49)</f>
        <v>-0.29375000000000001</v>
      </c>
      <c r="G49" s="374">
        <f>IF(constants!$O$6=1,Data!F49,-Data!F49)</f>
        <v>3.4374999999999996</v>
      </c>
      <c r="H49" s="391">
        <f>IF(constants!$O$7=1,Data!G49,-Data!G49)</f>
        <v>0</v>
      </c>
    </row>
    <row r="50" spans="1:8">
      <c r="A50" s="516"/>
      <c r="B50" s="372">
        <f>Data!A50</f>
        <v>0.47</v>
      </c>
      <c r="C50" s="374">
        <f>IF(constants!$O$2=1,Data!B50,-Data!B50)</f>
        <v>-0.67914342266697347</v>
      </c>
      <c r="D50" s="374">
        <f>IF(constants!$O$3=1,Data!C50,-Data!C50)</f>
        <v>-2.3076978375891422</v>
      </c>
      <c r="E50" s="374">
        <f>IF(constants!$O$4=1,Data!D50,-Data!D50)</f>
        <v>-1.1933517368299986</v>
      </c>
      <c r="F50" s="374">
        <f>IF(constants!$O$5=1,Data!E50,-Data!E50)</f>
        <v>-0.25937500000000019</v>
      </c>
      <c r="G50" s="374">
        <f>IF(constants!$O$6=1,Data!F50,-Data!F50)</f>
        <v>3.4374999999999996</v>
      </c>
      <c r="H50" s="391">
        <f>IF(constants!$O$7=1,Data!G50,-Data!G50)</f>
        <v>0</v>
      </c>
    </row>
    <row r="51" spans="1:8">
      <c r="A51" s="516"/>
      <c r="B51" s="372">
        <f>Data!A51</f>
        <v>0.48</v>
      </c>
      <c r="C51" s="374">
        <f>IF(constants!$O$2=1,Data!B51,-Data!B51)</f>
        <v>-0.70227743271221532</v>
      </c>
      <c r="D51" s="374">
        <f>IF(constants!$O$3=1,Data!C51,-Data!C51)</f>
        <v>-2.318840579710145</v>
      </c>
      <c r="E51" s="374">
        <f>IF(constants!$O$4=1,Data!D51,-Data!D51)</f>
        <v>-1.0351966873706013</v>
      </c>
      <c r="F51" s="374">
        <f>IF(constants!$O$5=1,Data!E51,-Data!E51)</f>
        <v>-0.2250000000000002</v>
      </c>
      <c r="G51" s="374">
        <f>IF(constants!$O$6=1,Data!F51,-Data!F51)</f>
        <v>3.4374999999999996</v>
      </c>
      <c r="H51" s="391">
        <f>IF(constants!$O$7=1,Data!G51,-Data!G51)</f>
        <v>0</v>
      </c>
    </row>
    <row r="52" spans="1:8">
      <c r="A52" s="516"/>
      <c r="B52" s="372">
        <f>Data!A52</f>
        <v>0.49</v>
      </c>
      <c r="C52" s="374">
        <f>IF(constants!$O$2=1,Data!B52,-Data!B52)</f>
        <v>-0.7255149624261944</v>
      </c>
      <c r="D52" s="374">
        <f>IF(constants!$O$3=1,Data!C52,-Data!C52)</f>
        <v>-2.3284017713365541</v>
      </c>
      <c r="E52" s="374">
        <f>IF(constants!$O$4=1,Data!D52,-Data!D52)</f>
        <v>-0.87704163791120404</v>
      </c>
      <c r="F52" s="374">
        <f>IF(constants!$O$5=1,Data!E52,-Data!E52)</f>
        <v>-0.19062500000000018</v>
      </c>
      <c r="G52" s="374">
        <f>IF(constants!$O$6=1,Data!F52,-Data!F52)</f>
        <v>3.4374999999999996</v>
      </c>
      <c r="H52" s="391">
        <f>IF(constants!$O$7=1,Data!G52,-Data!G52)</f>
        <v>0</v>
      </c>
    </row>
    <row r="53" spans="1:8">
      <c r="A53" s="516"/>
      <c r="B53" s="372">
        <f>Data!A53</f>
        <v>0.5</v>
      </c>
      <c r="C53" s="374">
        <f>IF(constants!$O$2=1,Data!B53,-Data!B53)</f>
        <v>-0.74884019630396448</v>
      </c>
      <c r="D53" s="374">
        <f>IF(constants!$O$3=1,Data!C53,-Data!C53)</f>
        <v>-2.3363814124683691</v>
      </c>
      <c r="E53" s="374">
        <f>IF(constants!$O$4=1,Data!D53,-Data!D53)</f>
        <v>-0.71888658845180675</v>
      </c>
      <c r="F53" s="374">
        <f>IF(constants!$O$5=1,Data!E53,-Data!E53)</f>
        <v>-0.15625000000000019</v>
      </c>
      <c r="G53" s="374">
        <f>IF(constants!$O$6=1,Data!F53,-Data!F53)</f>
        <v>3.4374999999999996</v>
      </c>
      <c r="H53" s="391">
        <f>IF(constants!$O$7=1,Data!G53,-Data!G53)</f>
        <v>0</v>
      </c>
    </row>
    <row r="54" spans="1:8">
      <c r="A54" s="516"/>
      <c r="B54" s="372">
        <f>Data!A54</f>
        <v>0.51</v>
      </c>
      <c r="C54" s="374">
        <f>IF(constants!$O$2=1,Data!B54,-Data!B54)</f>
        <v>-0.77223731884057978</v>
      </c>
      <c r="D54" s="374">
        <f>IF(constants!$O$3=1,Data!C54,-Data!C54)</f>
        <v>-2.3427795031055902</v>
      </c>
      <c r="E54" s="374">
        <f>IF(constants!$O$4=1,Data!D54,-Data!D54)</f>
        <v>-0.56073153899240857</v>
      </c>
      <c r="F54" s="374">
        <f>IF(constants!$O$5=1,Data!E54,-Data!E54)</f>
        <v>-0.121875</v>
      </c>
      <c r="G54" s="374">
        <f>IF(constants!$O$6=1,Data!F54,-Data!F54)</f>
        <v>3.4374999999999996</v>
      </c>
      <c r="H54" s="391">
        <f>IF(constants!$O$7=1,Data!G54,-Data!G54)</f>
        <v>0</v>
      </c>
    </row>
    <row r="55" spans="1:8">
      <c r="A55" s="516"/>
      <c r="B55" s="372">
        <f>Data!A55</f>
        <v>0.52</v>
      </c>
      <c r="C55" s="374">
        <f>IF(constants!$O$2=1,Data!B55,-Data!B55)</f>
        <v>-0.79569051453109441</v>
      </c>
      <c r="D55" s="374">
        <f>IF(constants!$O$3=1,Data!C55,-Data!C55)</f>
        <v>-2.3475960432482172</v>
      </c>
      <c r="E55" s="374">
        <f>IF(constants!$O$4=1,Data!D55,-Data!D55)</f>
        <v>-0.40257648953301128</v>
      </c>
      <c r="F55" s="374">
        <f>IF(constants!$O$5=1,Data!E55,-Data!E55)</f>
        <v>-8.7499999999999994E-2</v>
      </c>
      <c r="G55" s="374">
        <f>IF(constants!$O$6=1,Data!F55,-Data!F55)</f>
        <v>3.4374999999999996</v>
      </c>
      <c r="H55" s="391">
        <f>IF(constants!$O$7=1,Data!G55,-Data!G55)</f>
        <v>0</v>
      </c>
    </row>
    <row r="56" spans="1:8">
      <c r="A56" s="516"/>
      <c r="B56" s="372">
        <f>Data!A56</f>
        <v>0.53</v>
      </c>
      <c r="C56" s="374">
        <f>IF(constants!$O$2=1,Data!B56,-Data!B56)</f>
        <v>-0.81918396787056214</v>
      </c>
      <c r="D56" s="374">
        <f>IF(constants!$O$3=1,Data!C56,-Data!C56)</f>
        <v>-2.3508310328962505</v>
      </c>
      <c r="E56" s="374">
        <f>IF(constants!$O$4=1,Data!D56,-Data!D56)</f>
        <v>-0.24442144007361399</v>
      </c>
      <c r="F56" s="374">
        <f>IF(constants!$O$5=1,Data!E56,-Data!E56)</f>
        <v>-5.3124999999999999E-2</v>
      </c>
      <c r="G56" s="374">
        <f>IF(constants!$O$6=1,Data!F56,-Data!F56)</f>
        <v>3.4374999999999996</v>
      </c>
      <c r="H56" s="391">
        <f>IF(constants!$O$7=1,Data!G56,-Data!G56)</f>
        <v>0</v>
      </c>
    </row>
    <row r="57" spans="1:8">
      <c r="A57" s="516"/>
      <c r="B57" s="372">
        <f>Data!A57</f>
        <v>0.54</v>
      </c>
      <c r="C57" s="374">
        <f>IF(constants!$O$2=1,Data!B57,-Data!B57)</f>
        <v>-0.84270186335403729</v>
      </c>
      <c r="D57" s="374">
        <f>IF(constants!$O$3=1,Data!C57,-Data!C57)</f>
        <v>-2.3524844720496896</v>
      </c>
      <c r="E57" s="374">
        <f>IF(constants!$O$4=1,Data!D57,-Data!D57)</f>
        <v>-8.6266390614216704E-2</v>
      </c>
      <c r="F57" s="374">
        <f>IF(constants!$O$5=1,Data!E57,-Data!E57)</f>
        <v>-1.8749999999999999E-2</v>
      </c>
      <c r="G57" s="374">
        <f>IF(constants!$O$6=1,Data!F57,-Data!F57)</f>
        <v>3.4374999999999996</v>
      </c>
      <c r="H57" s="391">
        <f>IF(constants!$O$7=1,Data!G57,-Data!G57)</f>
        <v>0</v>
      </c>
    </row>
    <row r="58" spans="1:8">
      <c r="A58" s="516"/>
      <c r="B58" s="372">
        <f>Data!A58</f>
        <v>0.55000000000000004</v>
      </c>
      <c r="C58" s="374">
        <f>IF(constants!$O$2=1,Data!B58,-Data!B58)</f>
        <v>-0.86622838547657399</v>
      </c>
      <c r="D58" s="374">
        <f>IF(constants!$O$3=1,Data!C58,-Data!C58)</f>
        <v>-2.3525563607085345</v>
      </c>
      <c r="E58" s="374">
        <f>IF(constants!$O$4=1,Data!D58,-Data!D58)</f>
        <v>7.1888658845180586E-2</v>
      </c>
      <c r="F58" s="374">
        <f>IF(constants!$O$5=1,Data!E58,-Data!E58)</f>
        <v>1.5625E-2</v>
      </c>
      <c r="G58" s="374">
        <f>IF(constants!$O$6=1,Data!F58,-Data!F58)</f>
        <v>3.4374999999999996</v>
      </c>
      <c r="H58" s="391">
        <f>IF(constants!$O$7=1,Data!G58,-Data!G58)</f>
        <v>0</v>
      </c>
    </row>
    <row r="59" spans="1:8">
      <c r="A59" s="516"/>
      <c r="B59" s="372">
        <f>Data!A59</f>
        <v>0.56000000000000005</v>
      </c>
      <c r="C59" s="374">
        <f>IF(constants!$O$2=1,Data!B59,-Data!B59)</f>
        <v>-0.88974771873322611</v>
      </c>
      <c r="D59" s="374">
        <f>IF(constants!$O$3=1,Data!C59,-Data!C59)</f>
        <v>-2.3510466988727869</v>
      </c>
      <c r="E59" s="374">
        <f>IF(constants!$O$4=1,Data!D59,-Data!D59)</f>
        <v>0.23004370830457788</v>
      </c>
      <c r="F59" s="374">
        <f>IF(constants!$O$5=1,Data!E59,-Data!E59)</f>
        <v>4.9999999999999996E-2</v>
      </c>
      <c r="G59" s="374">
        <f>IF(constants!$O$6=1,Data!F59,-Data!F59)</f>
        <v>3.4374999999999996</v>
      </c>
      <c r="H59" s="391">
        <f>IF(constants!$O$7=1,Data!G59,-Data!G59)</f>
        <v>0</v>
      </c>
    </row>
    <row r="60" spans="1:8">
      <c r="A60" s="516"/>
      <c r="B60" s="372">
        <f>Data!A60</f>
        <v>0.56999999999999995</v>
      </c>
      <c r="C60" s="374">
        <f>IF(constants!$O$2=1,Data!B60,-Data!B60)</f>
        <v>-0.91324404761904754</v>
      </c>
      <c r="D60" s="374">
        <f>IF(constants!$O$3=1,Data!C60,-Data!C60)</f>
        <v>-2.3479554865424439</v>
      </c>
      <c r="E60" s="374">
        <f>IF(constants!$O$4=1,Data!D60,-Data!D60)</f>
        <v>0.38819875776397339</v>
      </c>
      <c r="F60" s="374">
        <f>IF(constants!$O$5=1,Data!E60,-Data!E60)</f>
        <v>8.4374999999999617E-2</v>
      </c>
      <c r="G60" s="374">
        <f>IF(constants!$O$6=1,Data!F60,-Data!F60)</f>
        <v>3.4374999999999996</v>
      </c>
      <c r="H60" s="391">
        <f>IF(constants!$O$7=1,Data!G60,-Data!G60)</f>
        <v>0</v>
      </c>
    </row>
    <row r="61" spans="1:8">
      <c r="A61" s="516"/>
      <c r="B61" s="372">
        <f>Data!A61</f>
        <v>0.57999999999999996</v>
      </c>
      <c r="C61" s="374">
        <f>IF(constants!$O$2=1,Data!B61,-Data!B61)</f>
        <v>-0.93670155662909282</v>
      </c>
      <c r="D61" s="374">
        <f>IF(constants!$O$3=1,Data!C61,-Data!C61)</f>
        <v>-2.3432827237175071</v>
      </c>
      <c r="E61" s="374">
        <f>IF(constants!$O$4=1,Data!D61,-Data!D61)</f>
        <v>0.54635380722337068</v>
      </c>
      <c r="F61" s="374">
        <f>IF(constants!$O$5=1,Data!E61,-Data!E61)</f>
        <v>0.11874999999999961</v>
      </c>
      <c r="G61" s="374">
        <f>IF(constants!$O$6=1,Data!F61,-Data!F61)</f>
        <v>3.4374999999999996</v>
      </c>
      <c r="H61" s="391">
        <f>IF(constants!$O$7=1,Data!G61,-Data!G61)</f>
        <v>0</v>
      </c>
    </row>
    <row r="62" spans="1:8">
      <c r="A62" s="516"/>
      <c r="B62" s="372">
        <f>Data!A62</f>
        <v>0.59</v>
      </c>
      <c r="C62" s="374">
        <f>IF(constants!$O$2=1,Data!B62,-Data!B62)</f>
        <v>-0.96010443025841574</v>
      </c>
      <c r="D62" s="374">
        <f>IF(constants!$O$3=1,Data!C62,-Data!C62)</f>
        <v>-2.3370284103979766</v>
      </c>
      <c r="E62" s="374">
        <f>IF(constants!$O$4=1,Data!D62,-Data!D62)</f>
        <v>0.70450885668276797</v>
      </c>
      <c r="F62" s="374">
        <f>IF(constants!$O$5=1,Data!E62,-Data!E62)</f>
        <v>0.15312499999999962</v>
      </c>
      <c r="G62" s="374">
        <f>IF(constants!$O$6=1,Data!F62,-Data!F62)</f>
        <v>3.4374999999999996</v>
      </c>
      <c r="H62" s="391">
        <f>IF(constants!$O$7=1,Data!G62,-Data!G62)</f>
        <v>0</v>
      </c>
    </row>
    <row r="63" spans="1:8">
      <c r="A63" s="516"/>
      <c r="B63" s="372">
        <f>Data!A63</f>
        <v>0.6</v>
      </c>
      <c r="C63" s="374">
        <f>IF(constants!$O$2=1,Data!B63,-Data!B63)</f>
        <v>-0.98343685300207051</v>
      </c>
      <c r="D63" s="374">
        <f>IF(constants!$O$3=1,Data!C63,-Data!C63)</f>
        <v>-2.329192546583851</v>
      </c>
      <c r="E63" s="374">
        <f>IF(constants!$O$4=1,Data!D63,-Data!D63)</f>
        <v>0.86266390614216526</v>
      </c>
      <c r="F63" s="374">
        <f>IF(constants!$O$5=1,Data!E63,-Data!E63)</f>
        <v>0.18749999999999961</v>
      </c>
      <c r="G63" s="374">
        <f>IF(constants!$O$6=1,Data!F63,-Data!F63)</f>
        <v>3.4374999999999996</v>
      </c>
      <c r="H63" s="391">
        <f>IF(constants!$O$7=1,Data!G63,-Data!G63)</f>
        <v>0</v>
      </c>
    </row>
    <row r="64" spans="1:8" s="93" customFormat="1">
      <c r="A64" s="516"/>
      <c r="B64" s="372">
        <f>Data!A64</f>
        <v>0.61</v>
      </c>
      <c r="C64" s="374">
        <f>IF(constants!$O$2=1,Data!B64,-Data!B64)</f>
        <v>-1.0066830093551109</v>
      </c>
      <c r="D64" s="374">
        <f>IF(constants!$O$3=1,Data!C64,-Data!C64)</f>
        <v>-2.319775132275133</v>
      </c>
      <c r="E64" s="374">
        <f>IF(constants!$O$4=1,Data!D64,-Data!D64)</f>
        <v>1.0208189556015643</v>
      </c>
      <c r="F64" s="374">
        <f>IF(constants!$O$5=1,Data!E64,-Data!E64)</f>
        <v>0.22187499999999999</v>
      </c>
      <c r="G64" s="374">
        <f>IF(constants!$O$6=1,Data!F64,-Data!F64)</f>
        <v>3.4374999999999996</v>
      </c>
      <c r="H64" s="391">
        <f>IF(constants!$O$7=1,Data!G64,-Data!G64)</f>
        <v>0</v>
      </c>
    </row>
    <row r="65" spans="1:8" s="93" customFormat="1">
      <c r="A65" s="516"/>
      <c r="B65" s="372">
        <f>Data!A65</f>
        <v>0.62</v>
      </c>
      <c r="C65" s="374">
        <f>IF(constants!$O$2=1,Data!B65,-Data!B65)</f>
        <v>-1.0298270838125911</v>
      </c>
      <c r="D65" s="374">
        <f>IF(constants!$O$3=1,Data!C65,-Data!C65)</f>
        <v>-2.3087761674718199</v>
      </c>
      <c r="E65" s="374">
        <f>IF(constants!$O$4=1,Data!D65,-Data!D65)</f>
        <v>1.1789740050609598</v>
      </c>
      <c r="F65" s="374">
        <f>IF(constants!$O$5=1,Data!E65,-Data!E65)</f>
        <v>0.25624999999999959</v>
      </c>
      <c r="G65" s="374">
        <f>IF(constants!$O$6=1,Data!F65,-Data!F65)</f>
        <v>3.4374999999999996</v>
      </c>
      <c r="H65" s="391">
        <f>IF(constants!$O$7=1,Data!G65,-Data!G65)</f>
        <v>0</v>
      </c>
    </row>
    <row r="66" spans="1:8" s="93" customFormat="1">
      <c r="A66" s="516"/>
      <c r="B66" s="372">
        <f>Data!A66</f>
        <v>0.63</v>
      </c>
      <c r="C66" s="374">
        <f>IF(constants!$O$2=1,Data!B66,-Data!B66)</f>
        <v>-1.0528532608695653</v>
      </c>
      <c r="D66" s="374">
        <f>IF(constants!$O$3=1,Data!C66,-Data!C66)</f>
        <v>-2.2961956521739131</v>
      </c>
      <c r="E66" s="374">
        <f>IF(constants!$O$4=1,Data!D66,-Data!D66)</f>
        <v>1.3371290545203589</v>
      </c>
      <c r="F66" s="374">
        <f>IF(constants!$O$5=1,Data!E66,-Data!E66)</f>
        <v>0.29062499999999997</v>
      </c>
      <c r="G66" s="374">
        <f>IF(constants!$O$6=1,Data!F66,-Data!F66)</f>
        <v>3.4374999999999996</v>
      </c>
      <c r="H66" s="391">
        <f>IF(constants!$O$7=1,Data!G66,-Data!G66)</f>
        <v>0</v>
      </c>
    </row>
    <row r="67" spans="1:8" s="93" customFormat="1">
      <c r="A67" s="516"/>
      <c r="B67" s="372">
        <f>Data!A67</f>
        <v>0.64</v>
      </c>
      <c r="C67" s="374">
        <f>IF(constants!$O$2=1,Data!B67,-Data!B67)</f>
        <v>-1.0757457250210876</v>
      </c>
      <c r="D67" s="374">
        <f>IF(constants!$O$3=1,Data!C67,-Data!C67)</f>
        <v>-2.2820335863814125</v>
      </c>
      <c r="E67" s="374">
        <f>IF(constants!$O$4=1,Data!D67,-Data!D67)</f>
        <v>1.4952841039797544</v>
      </c>
      <c r="F67" s="374">
        <f>IF(constants!$O$5=1,Data!E67,-Data!E67)</f>
        <v>0.32499999999999962</v>
      </c>
      <c r="G67" s="374">
        <f>IF(constants!$O$6=1,Data!F67,-Data!F67)</f>
        <v>3.4374999999999996</v>
      </c>
      <c r="H67" s="391">
        <f>IF(constants!$O$7=1,Data!G67,-Data!G67)</f>
        <v>0</v>
      </c>
    </row>
    <row r="68" spans="1:8" s="93" customFormat="1">
      <c r="A68" s="516"/>
      <c r="B68" s="372">
        <f>Data!A68</f>
        <v>0.65</v>
      </c>
      <c r="C68" s="374">
        <f>IF(constants!$O$2=1,Data!B68,-Data!B68)</f>
        <v>-1.0984886607622117</v>
      </c>
      <c r="D68" s="374">
        <f>IF(constants!$O$3=1,Data!C68,-Data!C68)</f>
        <v>-2.2662899700943182</v>
      </c>
      <c r="E68" s="374">
        <f>IF(constants!$O$4=1,Data!D68,-Data!D68)</f>
        <v>1.6534391534391535</v>
      </c>
      <c r="F68" s="374">
        <f>IF(constants!$O$5=1,Data!E68,-Data!E68)</f>
        <v>0.359375</v>
      </c>
      <c r="G68" s="374">
        <f>IF(constants!$O$6=1,Data!F68,-Data!F68)</f>
        <v>3.4374999999999996</v>
      </c>
      <c r="H68" s="391">
        <f>IF(constants!$O$7=1,Data!G68,-Data!G68)</f>
        <v>0</v>
      </c>
    </row>
    <row r="69" spans="1:8" s="93" customFormat="1">
      <c r="A69" s="516"/>
      <c r="B69" s="372">
        <f>Data!A69</f>
        <v>0.66</v>
      </c>
      <c r="C69" s="374">
        <f>IF(constants!$O$2=1,Data!B69,-Data!B69)</f>
        <v>-1.1210662525879918</v>
      </c>
      <c r="D69" s="374">
        <f>IF(constants!$O$3=1,Data!C69,-Data!C69)</f>
        <v>-2.2489648033126293</v>
      </c>
      <c r="E69" s="374">
        <f>IF(constants!$O$4=1,Data!D69,-Data!D69)</f>
        <v>1.811594202898549</v>
      </c>
      <c r="F69" s="374">
        <f>IF(constants!$O$5=1,Data!E69,-Data!E69)</f>
        <v>0.3937499999999996</v>
      </c>
      <c r="G69" s="374">
        <f>IF(constants!$O$6=1,Data!F69,-Data!F69)</f>
        <v>3.4374999999999996</v>
      </c>
      <c r="H69" s="391">
        <f>IF(constants!$O$7=1,Data!G69,-Data!G69)</f>
        <v>0</v>
      </c>
    </row>
    <row r="70" spans="1:8" s="93" customFormat="1">
      <c r="A70" s="516"/>
      <c r="B70" s="372">
        <f>Data!A70</f>
        <v>0.67</v>
      </c>
      <c r="C70" s="374">
        <f>IF(constants!$O$2=1,Data!B70,-Data!B70)</f>
        <v>-1.1434626849934824</v>
      </c>
      <c r="D70" s="374">
        <f>IF(constants!$O$3=1,Data!C70,-Data!C70)</f>
        <v>-2.2300580860363466</v>
      </c>
      <c r="E70" s="374">
        <f>IF(constants!$O$4=1,Data!D70,-Data!D70)</f>
        <v>1.9697492523579481</v>
      </c>
      <c r="F70" s="374">
        <f>IF(constants!$O$5=1,Data!E70,-Data!E70)</f>
        <v>0.42812499999999998</v>
      </c>
      <c r="G70" s="374">
        <f>IF(constants!$O$6=1,Data!F70,-Data!F70)</f>
        <v>3.4374999999999996</v>
      </c>
      <c r="H70" s="391">
        <f>IF(constants!$O$7=1,Data!G70,-Data!G70)</f>
        <v>0</v>
      </c>
    </row>
    <row r="71" spans="1:8" s="93" customFormat="1">
      <c r="A71" s="516"/>
      <c r="B71" s="372">
        <f>Data!A71</f>
        <v>0.68</v>
      </c>
      <c r="C71" s="374">
        <f>IF(constants!$O$2=1,Data!B71,-Data!B71)</f>
        <v>-1.165662142473737</v>
      </c>
      <c r="D71" s="374">
        <f>IF(constants!$O$3=1,Data!C71,-Data!C71)</f>
        <v>-2.2095698182654702</v>
      </c>
      <c r="E71" s="374">
        <f>IF(constants!$O$4=1,Data!D71,-Data!D71)</f>
        <v>2.1279043018173436</v>
      </c>
      <c r="F71" s="374">
        <f>IF(constants!$O$5=1,Data!E71,-Data!E71)</f>
        <v>0.46249999999999958</v>
      </c>
      <c r="G71" s="374">
        <f>IF(constants!$O$6=1,Data!F71,-Data!F71)</f>
        <v>3.4374999999999996</v>
      </c>
      <c r="H71" s="391">
        <f>IF(constants!$O$7=1,Data!G71,-Data!G71)</f>
        <v>0</v>
      </c>
    </row>
    <row r="72" spans="1:8" s="93" customFormat="1">
      <c r="A72" s="516"/>
      <c r="B72" s="372">
        <f>Data!A72</f>
        <v>0.69</v>
      </c>
      <c r="C72" s="374">
        <f>IF(constants!$O$2=1,Data!B72,-Data!B72)</f>
        <v>-1.1876488095238096</v>
      </c>
      <c r="D72" s="374">
        <f>IF(constants!$O$3=1,Data!C72,-Data!C72)</f>
        <v>-2.1875000000000004</v>
      </c>
      <c r="E72" s="374">
        <f>IF(constants!$O$4=1,Data!D72,-Data!D72)</f>
        <v>2.2860593512767409</v>
      </c>
      <c r="F72" s="374">
        <f>IF(constants!$O$5=1,Data!E72,-Data!E72)</f>
        <v>0.49687499999999962</v>
      </c>
      <c r="G72" s="374">
        <f>IF(constants!$O$6=1,Data!F72,-Data!F72)</f>
        <v>3.4374999999999996</v>
      </c>
      <c r="H72" s="391">
        <f>IF(constants!$O$7=1,Data!G72,-Data!G72)</f>
        <v>0</v>
      </c>
    </row>
    <row r="73" spans="1:8" s="93" customFormat="1">
      <c r="A73" s="516"/>
      <c r="B73" s="372">
        <f>Data!A73</f>
        <v>0.7</v>
      </c>
      <c r="C73" s="374">
        <f>IF(constants!$O$2=1,Data!B73,-Data!B73)</f>
        <v>-1.2094068706387546</v>
      </c>
      <c r="D73" s="374">
        <f>IF(constants!$O$3=1,Data!C73,-Data!C73)</f>
        <v>-2.1638486312399365</v>
      </c>
      <c r="E73" s="374">
        <f>IF(constants!$O$4=1,Data!D73,-Data!D73)</f>
        <v>2.4442144007361364</v>
      </c>
      <c r="F73" s="374">
        <f>IF(constants!$O$5=1,Data!E73,-Data!E73)</f>
        <v>0.53124999999999922</v>
      </c>
      <c r="G73" s="374">
        <f>IF(constants!$O$6=1,Data!F73,-Data!F73)</f>
        <v>3.4374999999999996</v>
      </c>
      <c r="H73" s="391">
        <f>IF(constants!$O$7=1,Data!G73,-Data!G73)</f>
        <v>0</v>
      </c>
    </row>
    <row r="74" spans="1:8" s="93" customFormat="1">
      <c r="A74" s="516"/>
      <c r="B74" s="372">
        <f>Data!A74</f>
        <v>0.71</v>
      </c>
      <c r="C74" s="374">
        <f>IF(constants!$O$2=1,Data!B74,-Data!B74)</f>
        <v>-1.2309205103136263</v>
      </c>
      <c r="D74" s="374">
        <f>IF(constants!$O$3=1,Data!C74,-Data!C74)</f>
        <v>-2.1386157119852776</v>
      </c>
      <c r="E74" s="374">
        <f>IF(constants!$O$4=1,Data!D74,-Data!D74)</f>
        <v>2.6023694501955354</v>
      </c>
      <c r="F74" s="374">
        <f>IF(constants!$O$5=1,Data!E74,-Data!E74)</f>
        <v>0.5656249999999996</v>
      </c>
      <c r="G74" s="374">
        <f>IF(constants!$O$6=1,Data!F74,-Data!F74)</f>
        <v>3.4374999999999996</v>
      </c>
      <c r="H74" s="391">
        <f>IF(constants!$O$7=1,Data!G74,-Data!G74)</f>
        <v>0</v>
      </c>
    </row>
    <row r="75" spans="1:8" s="93" customFormat="1">
      <c r="A75" s="516"/>
      <c r="B75" s="372">
        <f>Data!A75</f>
        <v>0.72</v>
      </c>
      <c r="C75" s="374">
        <f>IF(constants!$O$2=1,Data!B75,-Data!B75)</f>
        <v>-1.2521739130434781</v>
      </c>
      <c r="D75" s="374">
        <f>IF(constants!$O$3=1,Data!C75,-Data!C75)</f>
        <v>-2.1118012422360257</v>
      </c>
      <c r="E75" s="374">
        <f>IF(constants!$O$4=1,Data!D75,-Data!D75)</f>
        <v>2.7605244996549345</v>
      </c>
      <c r="F75" s="374">
        <f>IF(constants!$O$5=1,Data!E75,-Data!E75)</f>
        <v>0.6</v>
      </c>
      <c r="G75" s="374">
        <f>IF(constants!$O$6=1,Data!F75,-Data!F75)</f>
        <v>3.4374999999999996</v>
      </c>
      <c r="H75" s="391">
        <f>IF(constants!$O$7=1,Data!G75,-Data!G75)</f>
        <v>0</v>
      </c>
    </row>
    <row r="76" spans="1:8" s="93" customFormat="1">
      <c r="A76" s="516"/>
      <c r="B76" s="372">
        <f>Data!A76</f>
        <v>0.73</v>
      </c>
      <c r="C76" s="374">
        <f>IF(constants!$O$2=1,Data!B76,-Data!B76)</f>
        <v>-1.2731512633233646</v>
      </c>
      <c r="D76" s="374">
        <f>IF(constants!$O$3=1,Data!C76,-Data!C76)</f>
        <v>-2.0834052219921793</v>
      </c>
      <c r="E76" s="374">
        <f>IF(constants!$O$4=1,Data!D76,-Data!D76)</f>
        <v>2.91867954911433</v>
      </c>
      <c r="F76" s="374">
        <f>IF(constants!$O$5=1,Data!E76,-Data!E76)</f>
        <v>0.63437499999999958</v>
      </c>
      <c r="G76" s="374">
        <f>IF(constants!$O$6=1,Data!F76,-Data!F76)</f>
        <v>3.4374999999999996</v>
      </c>
      <c r="H76" s="391">
        <f>IF(constants!$O$7=1,Data!G76,-Data!G76)</f>
        <v>0</v>
      </c>
    </row>
    <row r="77" spans="1:8" s="93" customFormat="1">
      <c r="A77" s="516"/>
      <c r="B77" s="372">
        <f>Data!A77</f>
        <v>0.74</v>
      </c>
      <c r="C77" s="374">
        <f>IF(constants!$O$2=1,Data!B77,-Data!B77)</f>
        <v>-1.2938367456483402</v>
      </c>
      <c r="D77" s="374">
        <f>IF(constants!$O$3=1,Data!C77,-Data!C77)</f>
        <v>-2.0534276512537391</v>
      </c>
      <c r="E77" s="374">
        <f>IF(constants!$O$4=1,Data!D77,-Data!D77)</f>
        <v>3.0768345985737273</v>
      </c>
      <c r="F77" s="374">
        <f>IF(constants!$O$5=1,Data!E77,-Data!E77)</f>
        <v>0.66874999999999962</v>
      </c>
      <c r="G77" s="374">
        <f>IF(constants!$O$6=1,Data!F77,-Data!F77)</f>
        <v>3.4374999999999996</v>
      </c>
      <c r="H77" s="391">
        <f>IF(constants!$O$7=1,Data!G77,-Data!G77)</f>
        <v>0</v>
      </c>
    </row>
    <row r="78" spans="1:8" s="93" customFormat="1">
      <c r="A78" s="516"/>
      <c r="B78" s="372">
        <f>Data!A78</f>
        <v>0.75</v>
      </c>
      <c r="C78" s="374">
        <f>IF(constants!$O$2=1,Data!B78,-Data!B78)</f>
        <v>-1.3142145445134576</v>
      </c>
      <c r="D78" s="374">
        <f>IF(constants!$O$3=1,Data!C78,-Data!C78)</f>
        <v>-2.0218685300207042</v>
      </c>
      <c r="E78" s="374">
        <f>IF(constants!$O$4=1,Data!D78,-Data!D78)</f>
        <v>3.2349896480331246</v>
      </c>
      <c r="F78" s="374">
        <f>IF(constants!$O$5=1,Data!E78,-Data!E78)</f>
        <v>0.70312499999999956</v>
      </c>
      <c r="G78" s="374">
        <f>IF(constants!$O$6=1,Data!F78,-Data!F78)</f>
        <v>3.4374999999999996</v>
      </c>
      <c r="H78" s="391">
        <f>IF(constants!$O$7=1,Data!G78,-Data!G78)</f>
        <v>0</v>
      </c>
    </row>
    <row r="79" spans="1:8" s="93" customFormat="1">
      <c r="A79" s="516"/>
      <c r="B79" s="372">
        <f>Data!A79</f>
        <v>0.76</v>
      </c>
      <c r="C79" s="374">
        <f>IF(constants!$O$2=1,Data!B79,-Data!B79)</f>
        <v>-1.334268844413772</v>
      </c>
      <c r="D79" s="374">
        <f>IF(constants!$O$3=1,Data!C79,-Data!C79)</f>
        <v>-1.9887278582930756</v>
      </c>
      <c r="E79" s="374">
        <f>IF(constants!$O$4=1,Data!D79,-Data!D79)</f>
        <v>3.3931446974925237</v>
      </c>
      <c r="F79" s="374">
        <f>IF(constants!$O$5=1,Data!E79,-Data!E79)</f>
        <v>0.73749999999999993</v>
      </c>
      <c r="G79" s="374">
        <f>IF(constants!$O$6=1,Data!F79,-Data!F79)</f>
        <v>3.4374999999999996</v>
      </c>
      <c r="H79" s="391">
        <f>IF(constants!$O$7=1,Data!G79,-Data!G79)</f>
        <v>0</v>
      </c>
    </row>
    <row r="80" spans="1:8" s="93" customFormat="1">
      <c r="A80" s="516"/>
      <c r="B80" s="372">
        <f>Data!A80</f>
        <v>0.77</v>
      </c>
      <c r="C80" s="374">
        <f>IF(constants!$O$2=1,Data!B80,-Data!B80)</f>
        <v>-1.3539838298443372</v>
      </c>
      <c r="D80" s="374">
        <f>IF(constants!$O$3=1,Data!C80,-Data!C80)</f>
        <v>-1.9540056360708542</v>
      </c>
      <c r="E80" s="374">
        <f>IF(constants!$O$4=1,Data!D80,-Data!D80)</f>
        <v>3.5512997469519192</v>
      </c>
      <c r="F80" s="374">
        <f>IF(constants!$O$5=1,Data!E80,-Data!E80)</f>
        <v>0.77187499999999964</v>
      </c>
      <c r="G80" s="374">
        <f>IF(constants!$O$6=1,Data!F80,-Data!F80)</f>
        <v>3.4374999999999996</v>
      </c>
      <c r="H80" s="391">
        <f>IF(constants!$O$7=1,Data!G80,-Data!G80)</f>
        <v>0</v>
      </c>
    </row>
    <row r="81" spans="1:8" s="93" customFormat="1">
      <c r="A81" s="516"/>
      <c r="B81" s="372">
        <f>Data!A81</f>
        <v>0.78</v>
      </c>
      <c r="C81" s="374">
        <f>IF(constants!$O$2=1,Data!B81,-Data!B81)</f>
        <v>-1.3733436853002072</v>
      </c>
      <c r="D81" s="374">
        <f>IF(constants!$O$3=1,Data!C81,-Data!C81)</f>
        <v>-1.9177018633540373</v>
      </c>
      <c r="E81" s="374">
        <f>IF(constants!$O$4=1,Data!D81,-Data!D81)</f>
        <v>3.7094547964113165</v>
      </c>
      <c r="F81" s="374">
        <f>IF(constants!$O$5=1,Data!E81,-Data!E81)</f>
        <v>0.80624999999999958</v>
      </c>
      <c r="G81" s="374">
        <f>IF(constants!$O$6=1,Data!F81,-Data!F81)</f>
        <v>3.4374999999999996</v>
      </c>
      <c r="H81" s="391">
        <f>IF(constants!$O$7=1,Data!G81,-Data!G81)</f>
        <v>0</v>
      </c>
    </row>
    <row r="82" spans="1:8" s="93" customFormat="1">
      <c r="A82" s="516"/>
      <c r="B82" s="372">
        <f>Data!A82</f>
        <v>0.79</v>
      </c>
      <c r="C82" s="374">
        <f>IF(constants!$O$2=1,Data!B82,-Data!B82)</f>
        <v>-1.392332595276436</v>
      </c>
      <c r="D82" s="374">
        <f>IF(constants!$O$3=1,Data!C82,-Data!C82)</f>
        <v>-1.8798165401426266</v>
      </c>
      <c r="E82" s="374">
        <f>IF(constants!$O$4=1,Data!D82,-Data!D82)</f>
        <v>3.8676098458707155</v>
      </c>
      <c r="F82" s="374">
        <f>IF(constants!$O$5=1,Data!E82,-Data!E82)</f>
        <v>0.84062499999999996</v>
      </c>
      <c r="G82" s="374">
        <f>IF(constants!$O$6=1,Data!F82,-Data!F82)</f>
        <v>3.4374999999999996</v>
      </c>
      <c r="H82" s="391">
        <f>IF(constants!$O$7=1,Data!G82,-Data!G82)</f>
        <v>0</v>
      </c>
    </row>
    <row r="83" spans="1:8" s="93" customFormat="1">
      <c r="A83" s="516"/>
      <c r="B83" s="372">
        <f>Data!A83</f>
        <v>0.8</v>
      </c>
      <c r="C83" s="374">
        <f>IF(constants!$O$2=1,Data!B83,-Data!B83)</f>
        <v>-1.410934744268078</v>
      </c>
      <c r="D83" s="374">
        <f>IF(constants!$O$3=1,Data!C83,-Data!C83)</f>
        <v>-1.840349666436623</v>
      </c>
      <c r="E83" s="374">
        <f>IF(constants!$O$4=1,Data!D83,-Data!D83)</f>
        <v>4.0257648953301128</v>
      </c>
      <c r="F83" s="374">
        <f>IF(constants!$O$5=1,Data!E83,-Data!E83)</f>
        <v>0.875</v>
      </c>
      <c r="G83" s="374">
        <f>IF(constants!$O$6=1,Data!F83,-Data!F83)</f>
        <v>3.4374999999999996</v>
      </c>
      <c r="H83" s="391">
        <f>IF(constants!$O$7=1,Data!G83,-Data!G83)</f>
        <v>0</v>
      </c>
    </row>
    <row r="84" spans="1:8" s="93" customFormat="1">
      <c r="A84" s="516"/>
      <c r="B84" s="372">
        <f>Data!A84</f>
        <v>0.81</v>
      </c>
      <c r="C84" s="374">
        <f>IF(constants!$O$2=1,Data!B84,-Data!B84)</f>
        <v>-1.4291343167701867</v>
      </c>
      <c r="D84" s="374">
        <f>IF(constants!$O$3=1,Data!C84,-Data!C84)</f>
        <v>-1.7993012422360257</v>
      </c>
      <c r="E84" s="374">
        <f>IF(constants!$O$4=1,Data!D84,-Data!D84)</f>
        <v>4.1839199447895101</v>
      </c>
      <c r="F84" s="374">
        <f>IF(constants!$O$5=1,Data!E84,-Data!E84)</f>
        <v>0.90937499999999993</v>
      </c>
      <c r="G84" s="374">
        <f>IF(constants!$O$6=1,Data!F84,-Data!F84)</f>
        <v>3.4374999999999996</v>
      </c>
      <c r="H84" s="391">
        <f>IF(constants!$O$7=1,Data!G84,-Data!G84)</f>
        <v>0</v>
      </c>
    </row>
    <row r="85" spans="1:8" s="93" customFormat="1">
      <c r="A85" s="516"/>
      <c r="B85" s="372">
        <f>Data!A85</f>
        <v>0.82</v>
      </c>
      <c r="C85" s="374">
        <f>IF(constants!$O$2=1,Data!B85,-Data!B85)</f>
        <v>-1.4469154972778162</v>
      </c>
      <c r="D85" s="374">
        <f>IF(constants!$O$3=1,Data!C85,-Data!C85)</f>
        <v>-1.7566712675408338</v>
      </c>
      <c r="E85" s="374">
        <f>IF(constants!$O$4=1,Data!D85,-Data!D85)</f>
        <v>4.3420749942489056</v>
      </c>
      <c r="F85" s="374">
        <f>IF(constants!$O$5=1,Data!E85,-Data!E85)</f>
        <v>0.94374999999999953</v>
      </c>
      <c r="G85" s="374">
        <f>IF(constants!$O$6=1,Data!F85,-Data!F85)</f>
        <v>3.4374999999999996</v>
      </c>
      <c r="H85" s="391">
        <f>IF(constants!$O$7=1,Data!G85,-Data!G85)</f>
        <v>0</v>
      </c>
    </row>
    <row r="86" spans="1:8" s="93" customFormat="1">
      <c r="A86" s="516"/>
      <c r="B86" s="372">
        <f>Data!A86</f>
        <v>0.83</v>
      </c>
      <c r="C86" s="374">
        <f>IF(constants!$O$2=1,Data!B86,-Data!B86)</f>
        <v>-1.4642624702860212</v>
      </c>
      <c r="D86" s="374">
        <f>IF(constants!$O$3=1,Data!C86,-Data!C86)</f>
        <v>-1.7124597423510473</v>
      </c>
      <c r="E86" s="374">
        <f>IF(constants!$O$4=1,Data!D86,-Data!D86)</f>
        <v>4.5002300437083012</v>
      </c>
      <c r="F86" s="374">
        <f>IF(constants!$O$5=1,Data!E86,-Data!E86)</f>
        <v>0.97812499999999925</v>
      </c>
      <c r="G86" s="374">
        <f>IF(constants!$O$6=1,Data!F86,-Data!F86)</f>
        <v>3.4374999999999996</v>
      </c>
      <c r="H86" s="391">
        <f>IF(constants!$O$7=1,Data!G86,-Data!G86)</f>
        <v>0</v>
      </c>
    </row>
    <row r="87" spans="1:8" s="93" customFormat="1">
      <c r="A87" s="516"/>
      <c r="B87" s="372">
        <f>Data!A87</f>
        <v>0.84</v>
      </c>
      <c r="C87" s="374">
        <f>IF(constants!$O$2=1,Data!B87,-Data!B87)</f>
        <v>-1.4811594202898553</v>
      </c>
      <c r="D87" s="374">
        <f>IF(constants!$O$3=1,Data!C87,-Data!C87)</f>
        <v>-1.6666666666666687</v>
      </c>
      <c r="E87" s="374">
        <f>IF(constants!$O$4=1,Data!D87,-Data!D87)</f>
        <v>4.6583850931677002</v>
      </c>
      <c r="F87" s="374">
        <f>IF(constants!$O$5=1,Data!E87,-Data!E87)</f>
        <v>1.0124999999999995</v>
      </c>
      <c r="G87" s="374">
        <f>IF(constants!$O$6=1,Data!F87,-Data!F87)</f>
        <v>3.4374999999999996</v>
      </c>
      <c r="H87" s="391">
        <f>IF(constants!$O$7=1,Data!G87,-Data!G87)</f>
        <v>0</v>
      </c>
    </row>
    <row r="88" spans="1:8" s="93" customFormat="1">
      <c r="A88" s="516"/>
      <c r="B88" s="372">
        <f>Data!A88</f>
        <v>0.85</v>
      </c>
      <c r="C88" s="374">
        <f>IF(constants!$O$2=1,Data!B88,-Data!B88)</f>
        <v>-1.4975905317843723</v>
      </c>
      <c r="D88" s="374">
        <f>IF(constants!$O$3=1,Data!C88,-Data!C88)</f>
        <v>-1.6192920404876947</v>
      </c>
      <c r="E88" s="374">
        <f>IF(constants!$O$4=1,Data!D88,-Data!D88)</f>
        <v>4.8165401426270975</v>
      </c>
      <c r="F88" s="374">
        <f>IF(constants!$O$5=1,Data!E88,-Data!E88)</f>
        <v>1.0468749999999996</v>
      </c>
      <c r="G88" s="374">
        <f>IF(constants!$O$6=1,Data!F88,-Data!F88)</f>
        <v>3.4374999999999996</v>
      </c>
      <c r="H88" s="391">
        <f>IF(constants!$O$7=1,Data!G88,-Data!G88)</f>
        <v>0</v>
      </c>
    </row>
    <row r="89" spans="1:8" s="93" customFormat="1">
      <c r="A89" s="516"/>
      <c r="B89" s="372">
        <f>Data!A89</f>
        <v>0.86</v>
      </c>
      <c r="C89" s="374">
        <f>IF(constants!$O$2=1,Data!B89,-Data!B89)</f>
        <v>-1.5135399892646269</v>
      </c>
      <c r="D89" s="374">
        <f>IF(constants!$O$3=1,Data!C89,-Data!C89)</f>
        <v>-1.570335863814126</v>
      </c>
      <c r="E89" s="374">
        <f>IF(constants!$O$4=1,Data!D89,-Data!D89)</f>
        <v>4.9746951920864948</v>
      </c>
      <c r="F89" s="374">
        <f>IF(constants!$O$5=1,Data!E89,-Data!E89)</f>
        <v>1.0812499999999996</v>
      </c>
      <c r="G89" s="374">
        <f>IF(constants!$O$6=1,Data!F89,-Data!F89)</f>
        <v>3.4374999999999996</v>
      </c>
      <c r="H89" s="391">
        <f>IF(constants!$O$7=1,Data!G89,-Data!G89)</f>
        <v>0</v>
      </c>
    </row>
    <row r="90" spans="1:8" s="93" customFormat="1">
      <c r="A90" s="516"/>
      <c r="B90" s="372">
        <f>Data!A90</f>
        <v>0.87</v>
      </c>
      <c r="C90" s="374">
        <f>IF(constants!$O$2=1,Data!B90,-Data!B90)</f>
        <v>-1.5289919772256728</v>
      </c>
      <c r="D90" s="374">
        <f>IF(constants!$O$3=1,Data!C90,-Data!C90)</f>
        <v>-1.5197981366459627</v>
      </c>
      <c r="E90" s="374">
        <f>IF(constants!$O$4=1,Data!D90,-Data!D90)</f>
        <v>5.1328502415458921</v>
      </c>
      <c r="F90" s="374">
        <f>IF(constants!$O$5=1,Data!E90,-Data!E90)</f>
        <v>1.1156249999999996</v>
      </c>
      <c r="G90" s="374">
        <f>IF(constants!$O$6=1,Data!F90,-Data!F90)</f>
        <v>3.4374999999999996</v>
      </c>
      <c r="H90" s="391">
        <f>IF(constants!$O$7=1,Data!G90,-Data!G90)</f>
        <v>0</v>
      </c>
    </row>
    <row r="91" spans="1:8" s="93" customFormat="1">
      <c r="A91" s="516"/>
      <c r="B91" s="372">
        <f>Data!A91</f>
        <v>0.88</v>
      </c>
      <c r="C91" s="374">
        <f>IF(constants!$O$2=1,Data!B91,-Data!B91)</f>
        <v>-1.5439306801625645</v>
      </c>
      <c r="D91" s="374">
        <f>IF(constants!$O$3=1,Data!C91,-Data!C91)</f>
        <v>-1.4676788589832075</v>
      </c>
      <c r="E91" s="374">
        <f>IF(constants!$O$4=1,Data!D91,-Data!D91)</f>
        <v>5.2910052910052894</v>
      </c>
      <c r="F91" s="374">
        <f>IF(constants!$O$5=1,Data!E91,-Data!E91)</f>
        <v>1.1499999999999997</v>
      </c>
      <c r="G91" s="374">
        <f>IF(constants!$O$6=1,Data!F91,-Data!F91)</f>
        <v>3.4374999999999996</v>
      </c>
      <c r="H91" s="391">
        <f>IF(constants!$O$7=1,Data!G91,-Data!G91)</f>
        <v>0</v>
      </c>
    </row>
    <row r="92" spans="1:8" s="93" customFormat="1">
      <c r="A92" s="516"/>
      <c r="B92" s="372">
        <f>Data!A92</f>
        <v>0.89</v>
      </c>
      <c r="C92" s="374">
        <f>IF(constants!$O$2=1,Data!B92,-Data!B92)</f>
        <v>-1.558340282570355</v>
      </c>
      <c r="D92" s="374">
        <f>IF(constants!$O$3=1,Data!C92,-Data!C92)</f>
        <v>-1.4139780308258576</v>
      </c>
      <c r="E92" s="374">
        <f>IF(constants!$O$4=1,Data!D92,-Data!D92)</f>
        <v>5.4491603404646867</v>
      </c>
      <c r="F92" s="374">
        <f>IF(constants!$O$5=1,Data!E92,-Data!E92)</f>
        <v>1.1843749999999995</v>
      </c>
      <c r="G92" s="374">
        <f>IF(constants!$O$6=1,Data!F92,-Data!F92)</f>
        <v>3.4374999999999996</v>
      </c>
      <c r="H92" s="391">
        <f>IF(constants!$O$7=1,Data!G92,-Data!G92)</f>
        <v>0</v>
      </c>
    </row>
    <row r="93" spans="1:8" s="93" customFormat="1">
      <c r="A93" s="516"/>
      <c r="B93" s="372">
        <f>Data!A93</f>
        <v>0.9</v>
      </c>
      <c r="C93" s="374">
        <f>IF(constants!$O$2=1,Data!B93,-Data!B93)</f>
        <v>-1.5722049689440998</v>
      </c>
      <c r="D93" s="374">
        <f>IF(constants!$O$3=1,Data!C93,-Data!C93)</f>
        <v>-1.3586956521739131</v>
      </c>
      <c r="E93" s="374">
        <f>IF(constants!$O$4=1,Data!D93,-Data!D93)</f>
        <v>5.6073153899240857</v>
      </c>
      <c r="F93" s="374">
        <f>IF(constants!$O$5=1,Data!E93,-Data!E93)</f>
        <v>1.21875</v>
      </c>
      <c r="G93" s="374">
        <f>IF(constants!$O$6=1,Data!F93,-Data!F93)</f>
        <v>3.4374999999999996</v>
      </c>
      <c r="H93" s="391">
        <f>IF(constants!$O$7=1,Data!G93,-Data!G93)</f>
        <v>0</v>
      </c>
    </row>
    <row r="94" spans="1:8" s="93" customFormat="1">
      <c r="A94" s="516"/>
      <c r="B94" s="372">
        <f>Data!A94</f>
        <v>0.91</v>
      </c>
      <c r="C94" s="374">
        <f>IF(constants!$O$2=1,Data!B94,-Data!B94)</f>
        <v>-1.5855089237788513</v>
      </c>
      <c r="D94" s="374">
        <f>IF(constants!$O$3=1,Data!C94,-Data!C94)</f>
        <v>-1.3018317230273757</v>
      </c>
      <c r="E94" s="374">
        <f>IF(constants!$O$4=1,Data!D94,-Data!D94)</f>
        <v>5.7654704393834812</v>
      </c>
      <c r="F94" s="374">
        <f>IF(constants!$O$5=1,Data!E94,-Data!E94)</f>
        <v>1.2531249999999996</v>
      </c>
      <c r="G94" s="374">
        <f>IF(constants!$O$6=1,Data!F94,-Data!F94)</f>
        <v>3.4374999999999996</v>
      </c>
      <c r="H94" s="391">
        <f>IF(constants!$O$7=1,Data!G94,-Data!G94)</f>
        <v>0</v>
      </c>
    </row>
    <row r="95" spans="1:8" s="93" customFormat="1">
      <c r="A95" s="516"/>
      <c r="B95" s="372">
        <f>Data!A95</f>
        <v>0.92</v>
      </c>
      <c r="C95" s="374">
        <f>IF(constants!$O$2=1,Data!B95,-Data!B95)</f>
        <v>-1.5982363315696655</v>
      </c>
      <c r="D95" s="374">
        <f>IF(constants!$O$3=1,Data!C95,-Data!C95)</f>
        <v>-1.2433862433862437</v>
      </c>
      <c r="E95" s="374">
        <f>IF(constants!$O$4=1,Data!D95,-Data!D95)</f>
        <v>5.9236254888428803</v>
      </c>
      <c r="F95" s="374">
        <f>IF(constants!$O$5=1,Data!E95,-Data!E95)</f>
        <v>1.2874999999999999</v>
      </c>
      <c r="G95" s="374">
        <f>IF(constants!$O$6=1,Data!F95,-Data!F95)</f>
        <v>3.4374999999999996</v>
      </c>
      <c r="H95" s="391">
        <f>IF(constants!$O$7=1,Data!G95,-Data!G95)</f>
        <v>0</v>
      </c>
    </row>
    <row r="96" spans="1:8" s="93" customFormat="1">
      <c r="A96" s="516"/>
      <c r="B96" s="372">
        <f>Data!A96</f>
        <v>0.93</v>
      </c>
      <c r="C96" s="374">
        <f>IF(constants!$O$2=1,Data!B96,-Data!B96)</f>
        <v>-1.6103713768115946</v>
      </c>
      <c r="D96" s="374">
        <f>IF(constants!$O$3=1,Data!C96,-Data!C96)</f>
        <v>-1.1833592132505171</v>
      </c>
      <c r="E96" s="374">
        <f>IF(constants!$O$4=1,Data!D96,-Data!D96)</f>
        <v>6.0817805383022758</v>
      </c>
      <c r="F96" s="374">
        <f>IF(constants!$O$5=1,Data!E96,-Data!E96)</f>
        <v>1.3218749999999995</v>
      </c>
      <c r="G96" s="374">
        <f>IF(constants!$O$6=1,Data!F96,-Data!F96)</f>
        <v>3.4374999999999996</v>
      </c>
      <c r="H96" s="391">
        <f>IF(constants!$O$7=1,Data!G96,-Data!G96)</f>
        <v>0</v>
      </c>
    </row>
    <row r="97" spans="1:8" s="93" customFormat="1">
      <c r="A97" s="516"/>
      <c r="B97" s="372">
        <f>Data!A97</f>
        <v>0.94</v>
      </c>
      <c r="C97" s="374">
        <f>IF(constants!$O$2=1,Data!B97,-Data!B97)</f>
        <v>-1.6218982439996936</v>
      </c>
      <c r="D97" s="374">
        <f>IF(constants!$O$3=1,Data!C97,-Data!C97)</f>
        <v>-1.1217506326201994</v>
      </c>
      <c r="E97" s="374">
        <f>IF(constants!$O$4=1,Data!D97,-Data!D97)</f>
        <v>6.2399355877616731</v>
      </c>
      <c r="F97" s="374">
        <f>IF(constants!$O$5=1,Data!E97,-Data!E97)</f>
        <v>1.3562499999999995</v>
      </c>
      <c r="G97" s="374">
        <f>IF(constants!$O$6=1,Data!F97,-Data!F97)</f>
        <v>3.4374999999999996</v>
      </c>
      <c r="H97" s="391">
        <f>IF(constants!$O$7=1,Data!G97,-Data!G97)</f>
        <v>0</v>
      </c>
    </row>
    <row r="98" spans="1:8" s="93" customFormat="1">
      <c r="A98" s="516"/>
      <c r="B98" s="372">
        <f>Data!A98</f>
        <v>0.95</v>
      </c>
      <c r="C98" s="374">
        <f>IF(constants!$O$2=1,Data!B98,-Data!B98)</f>
        <v>-1.6328011176290169</v>
      </c>
      <c r="D98" s="374">
        <f>IF(constants!$O$3=1,Data!C98,-Data!C98)</f>
        <v>-1.0585605014952852</v>
      </c>
      <c r="E98" s="374">
        <f>IF(constants!$O$4=1,Data!D98,-Data!D98)</f>
        <v>6.3980906372210686</v>
      </c>
      <c r="F98" s="374">
        <f>IF(constants!$O$5=1,Data!E98,-Data!E98)</f>
        <v>1.3906249999999991</v>
      </c>
      <c r="G98" s="374">
        <f>IF(constants!$O$6=1,Data!F98,-Data!F98)</f>
        <v>3.4374999999999996</v>
      </c>
      <c r="H98" s="391">
        <f>IF(constants!$O$7=1,Data!G98,-Data!G98)</f>
        <v>0</v>
      </c>
    </row>
    <row r="99" spans="1:8" s="93" customFormat="1">
      <c r="A99" s="516"/>
      <c r="B99" s="372">
        <f>Data!A99</f>
        <v>0.96</v>
      </c>
      <c r="C99" s="374">
        <f>IF(constants!$O$2=1,Data!B99,-Data!B99)</f>
        <v>-1.643064182194617</v>
      </c>
      <c r="D99" s="374">
        <f>IF(constants!$O$3=1,Data!C99,-Data!C99)</f>
        <v>-0.9937888198757765</v>
      </c>
      <c r="E99" s="374">
        <f>IF(constants!$O$4=1,Data!D99,-Data!D99)</f>
        <v>6.5562456866804677</v>
      </c>
      <c r="F99" s="374">
        <f>IF(constants!$O$5=1,Data!E99,-Data!E99)</f>
        <v>1.4249999999999996</v>
      </c>
      <c r="G99" s="374">
        <f>IF(constants!$O$6=1,Data!F99,-Data!F99)</f>
        <v>3.4374999999999996</v>
      </c>
      <c r="H99" s="391">
        <f>IF(constants!$O$7=1,Data!G99,-Data!G99)</f>
        <v>0</v>
      </c>
    </row>
    <row r="100" spans="1:8" s="93" customFormat="1">
      <c r="A100" s="516"/>
      <c r="B100" s="372">
        <f>Data!A100</f>
        <v>0.97</v>
      </c>
      <c r="C100" s="374">
        <f>IF(constants!$O$2=1,Data!B100,-Data!B100)</f>
        <v>-1.6526716221915505</v>
      </c>
      <c r="D100" s="374">
        <f>IF(constants!$O$3=1,Data!C100,-Data!C100)</f>
        <v>-0.92743558776167578</v>
      </c>
      <c r="E100" s="374">
        <f>IF(constants!$O$4=1,Data!D100,-Data!D100)</f>
        <v>6.714400736139865</v>
      </c>
      <c r="F100" s="374">
        <f>IF(constants!$O$5=1,Data!E100,-Data!E100)</f>
        <v>1.4593749999999996</v>
      </c>
      <c r="G100" s="374">
        <f>IF(constants!$O$6=1,Data!F100,-Data!F100)</f>
        <v>3.4374999999999996</v>
      </c>
      <c r="H100" s="391">
        <f>IF(constants!$O$7=1,Data!G100,-Data!G100)</f>
        <v>0</v>
      </c>
    </row>
    <row r="101" spans="1:8" s="93" customFormat="1">
      <c r="A101" s="516"/>
      <c r="B101" s="372">
        <f>Data!A101</f>
        <v>0.98</v>
      </c>
      <c r="C101" s="374">
        <f>IF(constants!$O$2=1,Data!B101,-Data!B101)</f>
        <v>-1.661607622114869</v>
      </c>
      <c r="D101" s="374">
        <f>IF(constants!$O$3=1,Data!C101,-Data!C101)</f>
        <v>-0.85950080515298044</v>
      </c>
      <c r="E101" s="374">
        <f>IF(constants!$O$4=1,Data!D101,-Data!D101)</f>
        <v>6.8725557855992623</v>
      </c>
      <c r="F101" s="374">
        <f>IF(constants!$O$5=1,Data!E101,-Data!E101)</f>
        <v>1.4937499999999995</v>
      </c>
      <c r="G101" s="374">
        <f>IF(constants!$O$6=1,Data!F101,-Data!F101)</f>
        <v>3.4374999999999996</v>
      </c>
      <c r="H101" s="391">
        <f>IF(constants!$O$7=1,Data!G101,-Data!G101)</f>
        <v>0</v>
      </c>
    </row>
    <row r="102" spans="1:8" s="93" customFormat="1">
      <c r="A102" s="516"/>
      <c r="B102" s="372">
        <f>Data!A102</f>
        <v>0.99</v>
      </c>
      <c r="C102" s="374">
        <f>IF(constants!$O$2=1,Data!B102,-Data!B102)</f>
        <v>-1.6698563664596278</v>
      </c>
      <c r="D102" s="374">
        <f>IF(constants!$O$3=1,Data!C102,-Data!C102)</f>
        <v>-0.78998447204969136</v>
      </c>
      <c r="E102" s="374">
        <f>IF(constants!$O$4=1,Data!D102,-Data!D102)</f>
        <v>7.0307108350586578</v>
      </c>
      <c r="F102" s="374">
        <f>IF(constants!$O$5=1,Data!E102,-Data!E102)</f>
        <v>1.5281249999999993</v>
      </c>
      <c r="G102" s="374">
        <f>IF(constants!$O$6=1,Data!F102,-Data!F102)</f>
        <v>3.4374999999999996</v>
      </c>
      <c r="H102" s="391">
        <f>IF(constants!$O$7=1,Data!G102,-Data!G102)</f>
        <v>0</v>
      </c>
    </row>
    <row r="103" spans="1:8" s="93" customFormat="1" ht="15.75" thickBot="1">
      <c r="A103" s="517"/>
      <c r="B103" s="373">
        <f>Data!A103</f>
        <v>1</v>
      </c>
      <c r="C103" s="387">
        <f>IF(constants!$O$2=1,Data!B103,-Data!B103)</f>
        <v>-1.6774020397208806</v>
      </c>
      <c r="D103" s="387">
        <f>IF(constants!$O$3=1,Data!C103,-Data!C103)</f>
        <v>-0.71888658845180675</v>
      </c>
      <c r="E103" s="387">
        <f>IF(constants!$O$4=1,Data!D103,-Data!D103)</f>
        <v>7.1888658845180569</v>
      </c>
      <c r="F103" s="387">
        <f>IF(constants!$O$5=1,Data!E103,-Data!E103)</f>
        <v>1.5624999999999996</v>
      </c>
      <c r="G103" s="387">
        <f>IF(constants!$O$6=1,Data!F103,-Data!F103)</f>
        <v>3.4374999999999996</v>
      </c>
      <c r="H103" s="392">
        <f>IF(constants!$O$7=1,Data!G103,-Data!G103)</f>
        <v>-5</v>
      </c>
    </row>
    <row r="104" spans="1:8" s="93" customFormat="1">
      <c r="A104" s="518" t="str">
        <f>Solver!B2</f>
        <v>Polynomial</v>
      </c>
      <c r="B104" s="375">
        <f>Data!A104</f>
        <v>1.01</v>
      </c>
      <c r="C104" s="384">
        <f>IF(constants!$O$2=1,Data!B104,-Data!B104)</f>
        <v>-1.6842326604554867</v>
      </c>
      <c r="D104" s="384">
        <f>IF(constants!$O$3=1,Data!C104,-Data!C104)</f>
        <v>-0.64735737290085149</v>
      </c>
      <c r="E104" s="384">
        <f>IF(constants!$O$4=1,Data!D104,-Data!D104)</f>
        <v>7.116977225672878</v>
      </c>
      <c r="F104" s="384">
        <f>IF(constants!$O$5=1,Data!E104,-Data!E104)</f>
        <v>1.546875</v>
      </c>
      <c r="G104" s="384">
        <f>IF(constants!$O$6=1,Data!F104,-Data!F104)</f>
        <v>-1.5625000000000002</v>
      </c>
      <c r="H104" s="393">
        <f>IF(constants!$O$7=1,Data!G104,-Data!G104)</f>
        <v>0</v>
      </c>
    </row>
    <row r="105" spans="1:8" s="93" customFormat="1">
      <c r="A105" s="519"/>
      <c r="B105" s="376">
        <f>Data!A105</f>
        <v>1.02</v>
      </c>
      <c r="C105" s="378">
        <f>IF(constants!$O$2=1,Data!B105,-Data!B105)</f>
        <v>-1.6903515834675256</v>
      </c>
      <c r="D105" s="378">
        <f>IF(constants!$O$3=1,Data!C105,-Data!C105)</f>
        <v>-0.57654704393834866</v>
      </c>
      <c r="E105" s="378">
        <f>IF(constants!$O$4=1,Data!D105,-Data!D105)</f>
        <v>7.0450885668276984</v>
      </c>
      <c r="F105" s="378">
        <f>IF(constants!$O$5=1,Data!E105,-Data!E105)</f>
        <v>1.5312500000000002</v>
      </c>
      <c r="G105" s="378">
        <f>IF(constants!$O$6=1,Data!F105,-Data!F105)</f>
        <v>-1.5625000000000002</v>
      </c>
      <c r="H105" s="394">
        <f>IF(constants!$O$7=1,Data!G105,-Data!G105)</f>
        <v>0</v>
      </c>
    </row>
    <row r="106" spans="1:8" s="93" customFormat="1">
      <c r="A106" s="519"/>
      <c r="B106" s="376">
        <f>Data!A106</f>
        <v>1.03</v>
      </c>
      <c r="C106" s="378">
        <f>IF(constants!$O$2=1,Data!B106,-Data!B106)</f>
        <v>-1.6957659976228823</v>
      </c>
      <c r="D106" s="378">
        <f>IF(constants!$O$3=1,Data!C106,-Data!C106)</f>
        <v>-0.50645560156429736</v>
      </c>
      <c r="E106" s="378">
        <f>IF(constants!$O$4=1,Data!D106,-Data!D106)</f>
        <v>6.9731999079825178</v>
      </c>
      <c r="F106" s="378">
        <f>IF(constants!$O$5=1,Data!E106,-Data!E106)</f>
        <v>1.5156250000000002</v>
      </c>
      <c r="G106" s="378">
        <f>IF(constants!$O$6=1,Data!F106,-Data!F106)</f>
        <v>-1.5625000000000002</v>
      </c>
      <c r="H106" s="394">
        <f>IF(constants!$O$7=1,Data!G106,-Data!G106)</f>
        <v>0</v>
      </c>
    </row>
    <row r="107" spans="1:8" s="93" customFormat="1">
      <c r="A107" s="519"/>
      <c r="B107" s="376">
        <f>Data!A107</f>
        <v>1.04</v>
      </c>
      <c r="C107" s="378">
        <f>IF(constants!$O$2=1,Data!B107,-Data!B107)</f>
        <v>-1.7004830917874385</v>
      </c>
      <c r="D107" s="378">
        <f>IF(constants!$O$3=1,Data!C107,-Data!C107)</f>
        <v>-0.43708304577869894</v>
      </c>
      <c r="E107" s="378">
        <f>IF(constants!$O$4=1,Data!D107,-Data!D107)</f>
        <v>6.9013112491373372</v>
      </c>
      <c r="F107" s="378">
        <f>IF(constants!$O$5=1,Data!E107,-Data!E107)</f>
        <v>1.5000000000000002</v>
      </c>
      <c r="G107" s="378">
        <f>IF(constants!$O$6=1,Data!F107,-Data!F107)</f>
        <v>-1.5625000000000002</v>
      </c>
      <c r="H107" s="394">
        <f>IF(constants!$O$7=1,Data!G107,-Data!G107)</f>
        <v>0</v>
      </c>
    </row>
    <row r="108" spans="1:8" s="93" customFormat="1">
      <c r="A108" s="519"/>
      <c r="B108" s="376">
        <f>Data!A108</f>
        <v>1.05</v>
      </c>
      <c r="C108" s="378">
        <f>IF(constants!$O$2=1,Data!B108,-Data!B108)</f>
        <v>-1.7045100548270835</v>
      </c>
      <c r="D108" s="378">
        <f>IF(constants!$O$3=1,Data!C108,-Data!C108)</f>
        <v>-0.36842937658155117</v>
      </c>
      <c r="E108" s="378">
        <f>IF(constants!$O$4=1,Data!D108,-Data!D108)</f>
        <v>6.8294225902921557</v>
      </c>
      <c r="F108" s="378">
        <f>IF(constants!$O$5=1,Data!E108,-Data!E108)</f>
        <v>1.484375</v>
      </c>
      <c r="G108" s="378">
        <f>IF(constants!$O$6=1,Data!F108,-Data!F108)</f>
        <v>-1.5625000000000002</v>
      </c>
      <c r="H108" s="394">
        <f>IF(constants!$O$7=1,Data!G108,-Data!G108)</f>
        <v>0</v>
      </c>
    </row>
    <row r="109" spans="1:8" s="93" customFormat="1">
      <c r="A109" s="519"/>
      <c r="B109" s="376">
        <f>Data!A109</f>
        <v>1.06</v>
      </c>
      <c r="C109" s="378">
        <f>IF(constants!$O$2=1,Data!B109,-Data!B109)</f>
        <v>-1.7078540756076972</v>
      </c>
      <c r="D109" s="378">
        <f>IF(constants!$O$3=1,Data!C109,-Data!C109)</f>
        <v>-0.30049459397285627</v>
      </c>
      <c r="E109" s="378">
        <f>IF(constants!$O$4=1,Data!D109,-Data!D109)</f>
        <v>6.757533931446976</v>
      </c>
      <c r="F109" s="378">
        <f>IF(constants!$O$5=1,Data!E109,-Data!E109)</f>
        <v>1.4687500000000002</v>
      </c>
      <c r="G109" s="378">
        <f>IF(constants!$O$6=1,Data!F109,-Data!F109)</f>
        <v>-1.5625000000000002</v>
      </c>
      <c r="H109" s="394">
        <f>IF(constants!$O$7=1,Data!G109,-Data!G109)</f>
        <v>0</v>
      </c>
    </row>
    <row r="110" spans="1:8" s="93" customFormat="1">
      <c r="A110" s="519"/>
      <c r="B110" s="376">
        <f>Data!A110</f>
        <v>1.07</v>
      </c>
      <c r="C110" s="378">
        <f>IF(constants!$O$2=1,Data!B110,-Data!B110)</f>
        <v>-1.7105223429951688</v>
      </c>
      <c r="D110" s="378">
        <f>IF(constants!$O$3=1,Data!C110,-Data!C110)</f>
        <v>-0.2332786979526098</v>
      </c>
      <c r="E110" s="378">
        <f>IF(constants!$O$4=1,Data!D110,-Data!D110)</f>
        <v>6.6856452726017954</v>
      </c>
      <c r="F110" s="378">
        <f>IF(constants!$O$5=1,Data!E110,-Data!E110)</f>
        <v>1.4531250000000002</v>
      </c>
      <c r="G110" s="378">
        <f>IF(constants!$O$6=1,Data!F110,-Data!F110)</f>
        <v>-1.5625000000000002</v>
      </c>
      <c r="H110" s="394">
        <f>IF(constants!$O$7=1,Data!G110,-Data!G110)</f>
        <v>0</v>
      </c>
    </row>
    <row r="111" spans="1:8" s="93" customFormat="1">
      <c r="A111" s="519"/>
      <c r="B111" s="376">
        <f>Data!A111</f>
        <v>1.08</v>
      </c>
      <c r="C111" s="378">
        <f>IF(constants!$O$2=1,Data!B111,-Data!B111)</f>
        <v>-1.7125220458553796</v>
      </c>
      <c r="D111" s="378">
        <f>IF(constants!$O$3=1,Data!C111,-Data!C111)</f>
        <v>-0.16678168852081754</v>
      </c>
      <c r="E111" s="378">
        <f>IF(constants!$O$4=1,Data!D111,-Data!D111)</f>
        <v>6.6137566137566139</v>
      </c>
      <c r="F111" s="378">
        <f>IF(constants!$O$5=1,Data!E111,-Data!E111)</f>
        <v>1.4375</v>
      </c>
      <c r="G111" s="378">
        <f>IF(constants!$O$6=1,Data!F111,-Data!F111)</f>
        <v>-1.5625000000000002</v>
      </c>
      <c r="H111" s="394">
        <f>IF(constants!$O$7=1,Data!G111,-Data!G111)</f>
        <v>0</v>
      </c>
    </row>
    <row r="112" spans="1:8" s="93" customFormat="1">
      <c r="A112" s="519"/>
      <c r="B112" s="376">
        <f>Data!A112</f>
        <v>1.0900000000000001</v>
      </c>
      <c r="C112" s="378">
        <f>IF(constants!$O$2=1,Data!B112,-Data!B112)</f>
        <v>-1.713860373054215</v>
      </c>
      <c r="D112" s="378">
        <f>IF(constants!$O$3=1,Data!C112,-Data!C112)</f>
        <v>-0.1010035656774777</v>
      </c>
      <c r="E112" s="378">
        <f>IF(constants!$O$4=1,Data!D112,-Data!D112)</f>
        <v>6.5418679549114334</v>
      </c>
      <c r="F112" s="378">
        <f>IF(constants!$O$5=1,Data!E112,-Data!E112)</f>
        <v>1.421875</v>
      </c>
      <c r="G112" s="378">
        <f>IF(constants!$O$6=1,Data!F112,-Data!F112)</f>
        <v>-1.5625000000000002</v>
      </c>
      <c r="H112" s="394">
        <f>IF(constants!$O$7=1,Data!G112,-Data!G112)</f>
        <v>0</v>
      </c>
    </row>
    <row r="113" spans="1:8" s="93" customFormat="1">
      <c r="A113" s="519"/>
      <c r="B113" s="376">
        <f>Data!A113</f>
        <v>1.1000000000000001</v>
      </c>
      <c r="C113" s="378">
        <f>IF(constants!$O$2=1,Data!B113,-Data!B113)</f>
        <v>-1.7145445134575583</v>
      </c>
      <c r="D113" s="378">
        <f>IF(constants!$O$3=1,Data!C113,-Data!C113)</f>
        <v>-3.5944329422590293E-2</v>
      </c>
      <c r="E113" s="378">
        <f>IF(constants!$O$4=1,Data!D113,-Data!D113)</f>
        <v>6.4699792960662528</v>
      </c>
      <c r="F113" s="378">
        <f>IF(constants!$O$5=1,Data!E113,-Data!E113)</f>
        <v>1.40625</v>
      </c>
      <c r="G113" s="378">
        <f>IF(constants!$O$6=1,Data!F113,-Data!F113)</f>
        <v>-1.5625000000000002</v>
      </c>
      <c r="H113" s="394">
        <f>IF(constants!$O$7=1,Data!G113,-Data!G113)</f>
        <v>0</v>
      </c>
    </row>
    <row r="114" spans="1:8" s="93" customFormat="1">
      <c r="A114" s="519"/>
      <c r="B114" s="376">
        <f>Data!A114</f>
        <v>1.1100000000000001</v>
      </c>
      <c r="C114" s="378">
        <f>IF(constants!$O$2=1,Data!B114,-Data!B114)</f>
        <v>-1.7145816559312932</v>
      </c>
      <c r="D114" s="378">
        <f>IF(constants!$O$3=1,Data!C114,-Data!C114)</f>
        <v>2.8396020243846465E-2</v>
      </c>
      <c r="E114" s="378">
        <f>IF(constants!$O$4=1,Data!D114,-Data!D114)</f>
        <v>6.3980906372210731</v>
      </c>
      <c r="F114" s="378">
        <f>IF(constants!$O$5=1,Data!E114,-Data!E114)</f>
        <v>1.3906250000000002</v>
      </c>
      <c r="G114" s="378">
        <f>IF(constants!$O$6=1,Data!F114,-Data!F114)</f>
        <v>-1.5625000000000002</v>
      </c>
      <c r="H114" s="394">
        <f>IF(constants!$O$7=1,Data!G114,-Data!G114)</f>
        <v>0</v>
      </c>
    </row>
    <row r="115" spans="1:8" s="93" customFormat="1">
      <c r="A115" s="519"/>
      <c r="B115" s="376">
        <f>Data!A115</f>
        <v>1.1200000000000001</v>
      </c>
      <c r="C115" s="378">
        <f>IF(constants!$O$2=1,Data!B115,-Data!B115)</f>
        <v>-1.7139789893413089</v>
      </c>
      <c r="D115" s="378">
        <f>IF(constants!$O$3=1,Data!C115,-Data!C115)</f>
        <v>9.2017483321831683E-2</v>
      </c>
      <c r="E115" s="378">
        <f>IF(constants!$O$4=1,Data!D115,-Data!D115)</f>
        <v>6.3262019783758916</v>
      </c>
      <c r="F115" s="378">
        <f>IF(constants!$O$5=1,Data!E115,-Data!E115)</f>
        <v>1.375</v>
      </c>
      <c r="G115" s="378">
        <f>IF(constants!$O$6=1,Data!F115,-Data!F115)</f>
        <v>-1.5625000000000002</v>
      </c>
      <c r="H115" s="394">
        <f>IF(constants!$O$7=1,Data!G115,-Data!G115)</f>
        <v>0</v>
      </c>
    </row>
    <row r="116" spans="1:8" s="93" customFormat="1">
      <c r="A116" s="519"/>
      <c r="B116" s="376">
        <f>Data!A116</f>
        <v>1.1299999999999999</v>
      </c>
      <c r="C116" s="378">
        <f>IF(constants!$O$2=1,Data!B116,-Data!B116)</f>
        <v>-1.7127437025534842</v>
      </c>
      <c r="D116" s="378">
        <f>IF(constants!$O$3=1,Data!C116,-Data!C116)</f>
        <v>0.1549200598113627</v>
      </c>
      <c r="E116" s="378">
        <f>IF(constants!$O$4=1,Data!D116,-Data!D116)</f>
        <v>6.2543133195307128</v>
      </c>
      <c r="F116" s="378">
        <f>IF(constants!$O$5=1,Data!E116,-Data!E116)</f>
        <v>1.3593750000000004</v>
      </c>
      <c r="G116" s="378">
        <f>IF(constants!$O$6=1,Data!F116,-Data!F116)</f>
        <v>-1.5625000000000002</v>
      </c>
      <c r="H116" s="394">
        <f>IF(constants!$O$7=1,Data!G116,-Data!G116)</f>
        <v>0</v>
      </c>
    </row>
    <row r="117" spans="1:8" s="93" customFormat="1">
      <c r="A117" s="519"/>
      <c r="B117" s="376">
        <f>Data!A117</f>
        <v>1.1400000000000001</v>
      </c>
      <c r="C117" s="378">
        <f>IF(constants!$O$2=1,Data!B117,-Data!B117)</f>
        <v>-1.7108829844337095</v>
      </c>
      <c r="D117" s="378">
        <f>IF(constants!$O$3=1,Data!C117,-Data!C117)</f>
        <v>0.21710374971244573</v>
      </c>
      <c r="E117" s="378">
        <f>IF(constants!$O$4=1,Data!D117,-Data!D117)</f>
        <v>6.1824246606855304</v>
      </c>
      <c r="F117" s="378">
        <f>IF(constants!$O$5=1,Data!E117,-Data!E117)</f>
        <v>1.34375</v>
      </c>
      <c r="G117" s="378">
        <f>IF(constants!$O$6=1,Data!F117,-Data!F117)</f>
        <v>-1.5625000000000002</v>
      </c>
      <c r="H117" s="394">
        <f>IF(constants!$O$7=1,Data!G117,-Data!G117)</f>
        <v>0</v>
      </c>
    </row>
    <row r="118" spans="1:8" s="93" customFormat="1">
      <c r="A118" s="519"/>
      <c r="B118" s="376">
        <f>Data!A118</f>
        <v>1.1499999999999999</v>
      </c>
      <c r="C118" s="378">
        <f>IF(constants!$O$2=1,Data!B118,-Data!B118)</f>
        <v>-1.7084040238478644</v>
      </c>
      <c r="D118" s="378">
        <f>IF(constants!$O$3=1,Data!C118,-Data!C118)</f>
        <v>0.27856855302507277</v>
      </c>
      <c r="E118" s="378">
        <f>IF(constants!$O$4=1,Data!D118,-Data!D118)</f>
        <v>6.1105360018403516</v>
      </c>
      <c r="F118" s="378">
        <f>IF(constants!$O$5=1,Data!E118,-Data!E118)</f>
        <v>1.3281250000000004</v>
      </c>
      <c r="G118" s="378">
        <f>IF(constants!$O$6=1,Data!F118,-Data!F118)</f>
        <v>-1.5625000000000002</v>
      </c>
      <c r="H118" s="394">
        <f>IF(constants!$O$7=1,Data!G118,-Data!G118)</f>
        <v>0</v>
      </c>
    </row>
    <row r="119" spans="1:8" s="93" customFormat="1">
      <c r="A119" s="519"/>
      <c r="B119" s="376">
        <f>Data!A119</f>
        <v>1.1599999999999999</v>
      </c>
      <c r="C119" s="378">
        <f>IF(constants!$O$2=1,Data!B119,-Data!B119)</f>
        <v>-1.7053140096618353</v>
      </c>
      <c r="D119" s="378">
        <f>IF(constants!$O$3=1,Data!C119,-Data!C119)</f>
        <v>0.33931446974925095</v>
      </c>
      <c r="E119" s="378">
        <f>IF(constants!$O$4=1,Data!D119,-Data!D119)</f>
        <v>6.038647342995171</v>
      </c>
      <c r="F119" s="378">
        <f>IF(constants!$O$5=1,Data!E119,-Data!E119)</f>
        <v>1.3125000000000004</v>
      </c>
      <c r="G119" s="378">
        <f>IF(constants!$O$6=1,Data!F119,-Data!F119)</f>
        <v>-1.5625000000000002</v>
      </c>
      <c r="H119" s="394">
        <f>IF(constants!$O$7=1,Data!G119,-Data!G119)</f>
        <v>0</v>
      </c>
    </row>
    <row r="120" spans="1:8" s="93" customFormat="1">
      <c r="A120" s="519"/>
      <c r="B120" s="376">
        <f>Data!A120</f>
        <v>1.17</v>
      </c>
      <c r="C120" s="378">
        <f>IF(constants!$O$2=1,Data!B120,-Data!B120)</f>
        <v>-1.7016201307415086</v>
      </c>
      <c r="D120" s="378">
        <f>IF(constants!$O$3=1,Data!C120,-Data!C120)</f>
        <v>0.39934149988497669</v>
      </c>
      <c r="E120" s="378">
        <f>IF(constants!$O$4=1,Data!D120,-Data!D120)</f>
        <v>5.9667586841499904</v>
      </c>
      <c r="F120" s="378">
        <f>IF(constants!$O$5=1,Data!E120,-Data!E120)</f>
        <v>1.2968750000000004</v>
      </c>
      <c r="G120" s="378">
        <f>IF(constants!$O$6=1,Data!F120,-Data!F120)</f>
        <v>-1.5625000000000002</v>
      </c>
      <c r="H120" s="394">
        <f>IF(constants!$O$7=1,Data!G120,-Data!G120)</f>
        <v>0</v>
      </c>
    </row>
    <row r="121" spans="1:8" s="93" customFormat="1">
      <c r="A121" s="519"/>
      <c r="B121" s="376">
        <f>Data!A121</f>
        <v>1.18</v>
      </c>
      <c r="C121" s="378">
        <f>IF(constants!$O$2=1,Data!B121,-Data!B121)</f>
        <v>-1.6973295759527642</v>
      </c>
      <c r="D121" s="378">
        <f>IF(constants!$O$3=1,Data!C121,-Data!C121)</f>
        <v>0.4586496434322509</v>
      </c>
      <c r="E121" s="378">
        <f>IF(constants!$O$4=1,Data!D121,-Data!D121)</f>
        <v>5.8948700253048081</v>
      </c>
      <c r="F121" s="378">
        <f>IF(constants!$O$5=1,Data!E121,-Data!E121)</f>
        <v>1.28125</v>
      </c>
      <c r="G121" s="378">
        <f>IF(constants!$O$6=1,Data!F121,-Data!F121)</f>
        <v>-1.5625000000000002</v>
      </c>
      <c r="H121" s="394">
        <f>IF(constants!$O$7=1,Data!G121,-Data!G121)</f>
        <v>0</v>
      </c>
    </row>
    <row r="122" spans="1:8" s="93" customFormat="1">
      <c r="A122" s="519"/>
      <c r="B122" s="376">
        <f>Data!A122</f>
        <v>1.19</v>
      </c>
      <c r="C122" s="378">
        <f>IF(constants!$O$2=1,Data!B122,-Data!B122)</f>
        <v>-1.69244953416149</v>
      </c>
      <c r="D122" s="378">
        <f>IF(constants!$O$3=1,Data!C122,-Data!C122)</f>
        <v>0.51723890039107268</v>
      </c>
      <c r="E122" s="378">
        <f>IF(constants!$O$4=1,Data!D122,-Data!D122)</f>
        <v>5.8229813664596293</v>
      </c>
      <c r="F122" s="378">
        <f>IF(constants!$O$5=1,Data!E122,-Data!E122)</f>
        <v>1.2656250000000004</v>
      </c>
      <c r="G122" s="378">
        <f>IF(constants!$O$6=1,Data!F122,-Data!F122)</f>
        <v>-1.5625000000000002</v>
      </c>
      <c r="H122" s="394">
        <f>IF(constants!$O$7=1,Data!G122,-Data!G122)</f>
        <v>0</v>
      </c>
    </row>
    <row r="123" spans="1:8" s="93" customFormat="1">
      <c r="A123" s="519"/>
      <c r="B123" s="376">
        <f>Data!A123</f>
        <v>1.2</v>
      </c>
      <c r="C123" s="378">
        <f>IF(constants!$O$2=1,Data!B123,-Data!B123)</f>
        <v>-1.6869871942335704</v>
      </c>
      <c r="D123" s="378">
        <f>IF(constants!$O$3=1,Data!C123,-Data!C123)</f>
        <v>0.57510927076144203</v>
      </c>
      <c r="E123" s="378">
        <f>IF(constants!$O$4=1,Data!D123,-Data!D123)</f>
        <v>5.7510927076144487</v>
      </c>
      <c r="F123" s="378">
        <f>IF(constants!$O$5=1,Data!E123,-Data!E123)</f>
        <v>1.2500000000000004</v>
      </c>
      <c r="G123" s="378">
        <f>IF(constants!$O$6=1,Data!F123,-Data!F123)</f>
        <v>-1.5625000000000002</v>
      </c>
      <c r="H123" s="394">
        <f>IF(constants!$O$7=1,Data!G123,-Data!G123)</f>
        <v>0</v>
      </c>
    </row>
    <row r="124" spans="1:8" s="93" customFormat="1">
      <c r="A124" s="519"/>
      <c r="B124" s="376">
        <f>Data!A124</f>
        <v>1.21</v>
      </c>
      <c r="C124" s="378">
        <f>IF(constants!$O$2=1,Data!B124,-Data!B124)</f>
        <v>-1.6809497450348894</v>
      </c>
      <c r="D124" s="378">
        <f>IF(constants!$O$3=1,Data!C124,-Data!C124)</f>
        <v>0.63226075454336161</v>
      </c>
      <c r="E124" s="378">
        <f>IF(constants!$O$4=1,Data!D124,-Data!D124)</f>
        <v>5.6792040487692681</v>
      </c>
      <c r="F124" s="378">
        <f>IF(constants!$O$5=1,Data!E124,-Data!E124)</f>
        <v>1.2343750000000004</v>
      </c>
      <c r="G124" s="378">
        <f>IF(constants!$O$6=1,Data!F124,-Data!F124)</f>
        <v>-1.5625000000000002</v>
      </c>
      <c r="H124" s="394">
        <f>IF(constants!$O$7=1,Data!G124,-Data!G124)</f>
        <v>0</v>
      </c>
    </row>
    <row r="125" spans="1:8" s="93" customFormat="1">
      <c r="A125" s="519"/>
      <c r="B125" s="376">
        <f>Data!A125</f>
        <v>1.22</v>
      </c>
      <c r="C125" s="378">
        <f>IF(constants!$O$2=1,Data!B125,-Data!B125)</f>
        <v>-1.6743443754313319</v>
      </c>
      <c r="D125" s="378">
        <f>IF(constants!$O$3=1,Data!C125,-Data!C125)</f>
        <v>0.68869335173683144</v>
      </c>
      <c r="E125" s="378">
        <f>IF(constants!$O$4=1,Data!D125,-Data!D125)</f>
        <v>5.6073153899240857</v>
      </c>
      <c r="F125" s="378">
        <f>IF(constants!$O$5=1,Data!E125,-Data!E125)</f>
        <v>1.21875</v>
      </c>
      <c r="G125" s="378">
        <f>IF(constants!$O$6=1,Data!F125,-Data!F125)</f>
        <v>-1.5625000000000002</v>
      </c>
      <c r="H125" s="394">
        <f>IF(constants!$O$7=1,Data!G125,-Data!G125)</f>
        <v>0</v>
      </c>
    </row>
    <row r="126" spans="1:8" s="93" customFormat="1">
      <c r="A126" s="519"/>
      <c r="B126" s="376">
        <f>Data!A126</f>
        <v>1.23</v>
      </c>
      <c r="C126" s="378">
        <f>IF(constants!$O$2=1,Data!B126,-Data!B126)</f>
        <v>-1.6671782742887813</v>
      </c>
      <c r="D126" s="378">
        <f>IF(constants!$O$3=1,Data!C126,-Data!C126)</f>
        <v>0.74440706234184706</v>
      </c>
      <c r="E126" s="378">
        <f>IF(constants!$O$4=1,Data!D126,-Data!D126)</f>
        <v>5.5354267310789051</v>
      </c>
      <c r="F126" s="378">
        <f>IF(constants!$O$5=1,Data!E126,-Data!E126)</f>
        <v>1.203125</v>
      </c>
      <c r="G126" s="378">
        <f>IF(constants!$O$6=1,Data!F126,-Data!F126)</f>
        <v>-1.5625000000000002</v>
      </c>
      <c r="H126" s="394">
        <f>IF(constants!$O$7=1,Data!G126,-Data!G126)</f>
        <v>0</v>
      </c>
    </row>
    <row r="127" spans="1:8" s="93" customFormat="1">
      <c r="A127" s="519"/>
      <c r="B127" s="376">
        <f>Data!A127</f>
        <v>1.24</v>
      </c>
      <c r="C127" s="378">
        <f>IF(constants!$O$2=1,Data!B127,-Data!B127)</f>
        <v>-1.6594586304731234</v>
      </c>
      <c r="D127" s="378">
        <f>IF(constants!$O$3=1,Data!C127,-Data!C127)</f>
        <v>0.79940188635840936</v>
      </c>
      <c r="E127" s="378">
        <f>IF(constants!$O$4=1,Data!D127,-Data!D127)</f>
        <v>5.4635380722337263</v>
      </c>
      <c r="F127" s="378">
        <f>IF(constants!$O$5=1,Data!E127,-Data!E127)</f>
        <v>1.1875000000000004</v>
      </c>
      <c r="G127" s="378">
        <f>IF(constants!$O$6=1,Data!F127,-Data!F127)</f>
        <v>-1.5625000000000002</v>
      </c>
      <c r="H127" s="394">
        <f>IF(constants!$O$7=1,Data!G127,-Data!G127)</f>
        <v>0</v>
      </c>
    </row>
    <row r="128" spans="1:8" s="93" customFormat="1">
      <c r="A128" s="519"/>
      <c r="B128" s="376">
        <f>Data!A128</f>
        <v>1.25</v>
      </c>
      <c r="C128" s="378">
        <f>IF(constants!$O$2=1,Data!B128,-Data!B128)</f>
        <v>-1.6511926328502402</v>
      </c>
      <c r="D128" s="378">
        <f>IF(constants!$O$3=1,Data!C128,-Data!C128)</f>
        <v>0.85367782378652013</v>
      </c>
      <c r="E128" s="378">
        <f>IF(constants!$O$4=1,Data!D128,-Data!D128)</f>
        <v>5.391649413388544</v>
      </c>
      <c r="F128" s="378">
        <f>IF(constants!$O$5=1,Data!E128,-Data!E128)</f>
        <v>1.171875</v>
      </c>
      <c r="G128" s="378">
        <f>IF(constants!$O$6=1,Data!F128,-Data!F128)</f>
        <v>-1.5625000000000002</v>
      </c>
      <c r="H128" s="394">
        <f>IF(constants!$O$7=1,Data!G128,-Data!G128)</f>
        <v>0</v>
      </c>
    </row>
    <row r="129" spans="1:8" s="93" customFormat="1">
      <c r="A129" s="519"/>
      <c r="B129" s="376">
        <f>Data!A129</f>
        <v>1.26</v>
      </c>
      <c r="C129" s="378">
        <f>IF(constants!$O$2=1,Data!B129,-Data!B129)</f>
        <v>-1.6423874702860193</v>
      </c>
      <c r="D129" s="378">
        <f>IF(constants!$O$3=1,Data!C129,-Data!C129)</f>
        <v>0.90723487462617936</v>
      </c>
      <c r="E129" s="378">
        <f>IF(constants!$O$4=1,Data!D129,-Data!D129)</f>
        <v>5.3197607545433634</v>
      </c>
      <c r="F129" s="378">
        <f>IF(constants!$O$5=1,Data!E129,-Data!E129)</f>
        <v>1.15625</v>
      </c>
      <c r="G129" s="378">
        <f>IF(constants!$O$6=1,Data!F129,-Data!F129)</f>
        <v>-1.5625000000000002</v>
      </c>
      <c r="H129" s="394">
        <f>IF(constants!$O$7=1,Data!G129,-Data!G129)</f>
        <v>0</v>
      </c>
    </row>
    <row r="130" spans="1:8" s="93" customFormat="1">
      <c r="A130" s="519"/>
      <c r="B130" s="376">
        <f>Data!A130</f>
        <v>1.27</v>
      </c>
      <c r="C130" s="378">
        <f>IF(constants!$O$2=1,Data!B130,-Data!B130)</f>
        <v>-1.6330503316463458</v>
      </c>
      <c r="D130" s="378">
        <f>IF(constants!$O$3=1,Data!C130,-Data!C130)</f>
        <v>0.96007303887738793</v>
      </c>
      <c r="E130" s="378">
        <f>IF(constants!$O$4=1,Data!D130,-Data!D130)</f>
        <v>5.2478720956981828</v>
      </c>
      <c r="F130" s="378">
        <f>IF(constants!$O$5=1,Data!E130,-Data!E130)</f>
        <v>1.140625</v>
      </c>
      <c r="G130" s="378">
        <f>IF(constants!$O$6=1,Data!F130,-Data!F130)</f>
        <v>-1.5625000000000002</v>
      </c>
      <c r="H130" s="394">
        <f>IF(constants!$O$7=1,Data!G130,-Data!G130)</f>
        <v>0</v>
      </c>
    </row>
    <row r="131" spans="1:8" s="93" customFormat="1">
      <c r="A131" s="519"/>
      <c r="B131" s="376">
        <f>Data!A131</f>
        <v>1.28</v>
      </c>
      <c r="C131" s="378">
        <f>IF(constants!$O$2=1,Data!B131,-Data!B131)</f>
        <v>-1.6231884057971002</v>
      </c>
      <c r="D131" s="378">
        <f>IF(constants!$O$3=1,Data!C131,-Data!C131)</f>
        <v>1.0121923165401432</v>
      </c>
      <c r="E131" s="378">
        <f>IF(constants!$O$4=1,Data!D131,-Data!D131)</f>
        <v>5.175983436853004</v>
      </c>
      <c r="F131" s="378">
        <f>IF(constants!$O$5=1,Data!E131,-Data!E131)</f>
        <v>1.1250000000000004</v>
      </c>
      <c r="G131" s="378">
        <f>IF(constants!$O$6=1,Data!F131,-Data!F131)</f>
        <v>-1.5625000000000002</v>
      </c>
      <c r="H131" s="394">
        <f>IF(constants!$O$7=1,Data!G131,-Data!G131)</f>
        <v>0</v>
      </c>
    </row>
    <row r="132" spans="1:8" s="93" customFormat="1">
      <c r="A132" s="519"/>
      <c r="B132" s="376">
        <f>Data!A132</f>
        <v>1.29</v>
      </c>
      <c r="C132" s="378">
        <f>IF(constants!$O$2=1,Data!B132,-Data!B132)</f>
        <v>-1.6128088816041712</v>
      </c>
      <c r="D132" s="378">
        <f>IF(constants!$O$3=1,Data!C132,-Data!C132)</f>
        <v>1.0635927076144478</v>
      </c>
      <c r="E132" s="378">
        <f>IF(constants!$O$4=1,Data!D132,-Data!D132)</f>
        <v>5.1040947780078216</v>
      </c>
      <c r="F132" s="378">
        <f>IF(constants!$O$5=1,Data!E132,-Data!E132)</f>
        <v>1.109375</v>
      </c>
      <c r="G132" s="378">
        <f>IF(constants!$O$6=1,Data!F132,-Data!F132)</f>
        <v>-1.5625000000000002</v>
      </c>
      <c r="H132" s="394">
        <f>IF(constants!$O$7=1,Data!G132,-Data!G132)</f>
        <v>0</v>
      </c>
    </row>
    <row r="133" spans="1:8" s="93" customFormat="1">
      <c r="A133" s="519"/>
      <c r="B133" s="376">
        <f>Data!A133</f>
        <v>1.3</v>
      </c>
      <c r="C133" s="378">
        <f>IF(constants!$O$2=1,Data!B133,-Data!B133)</f>
        <v>-1.6019189479334406</v>
      </c>
      <c r="D133" s="378">
        <f>IF(constants!$O$3=1,Data!C133,-Data!C133)</f>
        <v>1.1142742121003</v>
      </c>
      <c r="E133" s="378">
        <f>IF(constants!$O$4=1,Data!D133,-Data!D133)</f>
        <v>5.032206119162641</v>
      </c>
      <c r="F133" s="378">
        <f>IF(constants!$O$5=1,Data!E133,-Data!E133)</f>
        <v>1.09375</v>
      </c>
      <c r="G133" s="378">
        <f>IF(constants!$O$6=1,Data!F133,-Data!F133)</f>
        <v>-1.5625000000000002</v>
      </c>
      <c r="H133" s="394">
        <f>IF(constants!$O$7=1,Data!G133,-Data!G133)</f>
        <v>0</v>
      </c>
    </row>
    <row r="134" spans="1:8" s="93" customFormat="1">
      <c r="A134" s="519"/>
      <c r="B134" s="376">
        <f>Data!A134</f>
        <v>1.31</v>
      </c>
      <c r="C134" s="378">
        <f>IF(constants!$O$2=1,Data!B134,-Data!B134)</f>
        <v>-1.5905257936507935</v>
      </c>
      <c r="D134" s="378">
        <f>IF(constants!$O$3=1,Data!C134,-Data!C134)</f>
        <v>1.1642368299976997</v>
      </c>
      <c r="E134" s="378">
        <f>IF(constants!$O$4=1,Data!D134,-Data!D134)</f>
        <v>4.9603174603174605</v>
      </c>
      <c r="F134" s="378">
        <f>IF(constants!$O$5=1,Data!E134,-Data!E134)</f>
        <v>1.078125</v>
      </c>
      <c r="G134" s="378">
        <f>IF(constants!$O$6=1,Data!F134,-Data!F134)</f>
        <v>-1.5625000000000002</v>
      </c>
      <c r="H134" s="394">
        <f>IF(constants!$O$7=1,Data!G134,-Data!G134)</f>
        <v>0</v>
      </c>
    </row>
    <row r="135" spans="1:8" s="93" customFormat="1">
      <c r="A135" s="519"/>
      <c r="B135" s="376">
        <f>Data!A135</f>
        <v>1.32</v>
      </c>
      <c r="C135" s="378">
        <f>IF(constants!$O$2=1,Data!B135,-Data!B135)</f>
        <v>-1.5786366076221152</v>
      </c>
      <c r="D135" s="378">
        <f>IF(constants!$O$3=1,Data!C135,-Data!C135)</f>
        <v>1.2134805613066488</v>
      </c>
      <c r="E135" s="378">
        <f>IF(constants!$O$4=1,Data!D135,-Data!D135)</f>
        <v>4.8884288014722799</v>
      </c>
      <c r="F135" s="378">
        <f>IF(constants!$O$5=1,Data!E135,-Data!E135)</f>
        <v>1.0625</v>
      </c>
      <c r="G135" s="378">
        <f>IF(constants!$O$6=1,Data!F135,-Data!F135)</f>
        <v>-1.5625000000000002</v>
      </c>
      <c r="H135" s="394">
        <f>IF(constants!$O$7=1,Data!G135,-Data!G135)</f>
        <v>0</v>
      </c>
    </row>
    <row r="136" spans="1:8" s="93" customFormat="1">
      <c r="A136" s="519"/>
      <c r="B136" s="376">
        <f>Data!A136</f>
        <v>1.33</v>
      </c>
      <c r="C136" s="378">
        <f>IF(constants!$O$2=1,Data!B136,-Data!B136)</f>
        <v>-1.5662585787132888</v>
      </c>
      <c r="D136" s="378">
        <f>IF(constants!$O$3=1,Data!C136,-Data!C136)</f>
        <v>1.2620054060271464</v>
      </c>
      <c r="E136" s="378">
        <f>IF(constants!$O$4=1,Data!D136,-Data!D136)</f>
        <v>4.8165401426270993</v>
      </c>
      <c r="F136" s="378">
        <f>IF(constants!$O$5=1,Data!E136,-Data!E136)</f>
        <v>1.046875</v>
      </c>
      <c r="G136" s="378">
        <f>IF(constants!$O$6=1,Data!F136,-Data!F136)</f>
        <v>-1.5625000000000002</v>
      </c>
      <c r="H136" s="394">
        <f>IF(constants!$O$7=1,Data!G136,-Data!G136)</f>
        <v>0</v>
      </c>
    </row>
    <row r="137" spans="1:8" s="93" customFormat="1">
      <c r="A137" s="519"/>
      <c r="B137" s="376">
        <f>Data!A137</f>
        <v>1.34</v>
      </c>
      <c r="C137" s="378">
        <f>IF(constants!$O$2=1,Data!B137,-Data!B137)</f>
        <v>-1.553398895790199</v>
      </c>
      <c r="D137" s="378">
        <f>IF(constants!$O$3=1,Data!C137,-Data!C137)</f>
        <v>1.3098113641591898</v>
      </c>
      <c r="E137" s="378">
        <f>IF(constants!$O$4=1,Data!D137,-Data!D137)</f>
        <v>4.7446514837819187</v>
      </c>
      <c r="F137" s="378">
        <f>IF(constants!$O$5=1,Data!E137,-Data!E137)</f>
        <v>1.03125</v>
      </c>
      <c r="G137" s="378">
        <f>IF(constants!$O$6=1,Data!F137,-Data!F137)</f>
        <v>-1.5625000000000002</v>
      </c>
      <c r="H137" s="394">
        <f>IF(constants!$O$7=1,Data!G137,-Data!G137)</f>
        <v>0</v>
      </c>
    </row>
    <row r="138" spans="1:8" s="93" customFormat="1">
      <c r="A138" s="519"/>
      <c r="B138" s="376">
        <f>Data!A138</f>
        <v>1.35</v>
      </c>
      <c r="C138" s="378">
        <f>IF(constants!$O$2=1,Data!B138,-Data!B138)</f>
        <v>-1.5400647477187324</v>
      </c>
      <c r="D138" s="378">
        <f>IF(constants!$O$3=1,Data!C138,-Data!C138)</f>
        <v>1.3568984357027833</v>
      </c>
      <c r="E138" s="378">
        <f>IF(constants!$O$4=1,Data!D138,-Data!D138)</f>
        <v>4.6727628249367363</v>
      </c>
      <c r="F138" s="378">
        <f>IF(constants!$O$5=1,Data!E138,-Data!E138)</f>
        <v>1.0156249999999996</v>
      </c>
      <c r="G138" s="378">
        <f>IF(constants!$O$6=1,Data!F138,-Data!F138)</f>
        <v>-1.5625000000000002</v>
      </c>
      <c r="H138" s="394">
        <f>IF(constants!$O$7=1,Data!G138,-Data!G138)</f>
        <v>0</v>
      </c>
    </row>
    <row r="139" spans="1:8" s="93" customFormat="1">
      <c r="A139" s="519"/>
      <c r="B139" s="376">
        <f>Data!A139</f>
        <v>1.3599999999999999</v>
      </c>
      <c r="C139" s="378">
        <f>IF(constants!$O$2=1,Data!B139,-Data!B139)</f>
        <v>-1.5262633233647738</v>
      </c>
      <c r="D139" s="378">
        <f>IF(constants!$O$3=1,Data!C139,-Data!C139)</f>
        <v>1.4032666206579236</v>
      </c>
      <c r="E139" s="378">
        <f>IF(constants!$O$4=1,Data!D139,-Data!D139)</f>
        <v>4.6008741660915575</v>
      </c>
      <c r="F139" s="378">
        <f>IF(constants!$O$5=1,Data!E139,-Data!E139)</f>
        <v>1</v>
      </c>
      <c r="G139" s="378">
        <f>IF(constants!$O$6=1,Data!F139,-Data!F139)</f>
        <v>-1.5625000000000002</v>
      </c>
      <c r="H139" s="394">
        <f>IF(constants!$O$7=1,Data!G139,-Data!G139)</f>
        <v>0</v>
      </c>
    </row>
    <row r="140" spans="1:8" s="93" customFormat="1">
      <c r="A140" s="519"/>
      <c r="B140" s="376">
        <f>Data!A140</f>
        <v>1.37</v>
      </c>
      <c r="C140" s="378">
        <f>IF(constants!$O$2=1,Data!B140,-Data!B140)</f>
        <v>-1.5120018115942035</v>
      </c>
      <c r="D140" s="378">
        <f>IF(constants!$O$3=1,Data!C140,-Data!C140)</f>
        <v>1.4489159190246141</v>
      </c>
      <c r="E140" s="378">
        <f>IF(constants!$O$4=1,Data!D140,-Data!D140)</f>
        <v>4.5289855072463769</v>
      </c>
      <c r="F140" s="378">
        <f>IF(constants!$O$5=1,Data!E140,-Data!E140)</f>
        <v>0.984375</v>
      </c>
      <c r="G140" s="378">
        <f>IF(constants!$O$6=1,Data!F140,-Data!F140)</f>
        <v>-1.5625000000000002</v>
      </c>
      <c r="H140" s="394">
        <f>IF(constants!$O$7=1,Data!G140,-Data!G140)</f>
        <v>0</v>
      </c>
    </row>
    <row r="141" spans="1:8" s="93" customFormat="1">
      <c r="A141" s="519"/>
      <c r="B141" s="376">
        <f>Data!A141</f>
        <v>1.38</v>
      </c>
      <c r="C141" s="378">
        <f>IF(constants!$O$2=1,Data!B141,-Data!B141)</f>
        <v>-1.49728740127291</v>
      </c>
      <c r="D141" s="378">
        <f>IF(constants!$O$3=1,Data!C141,-Data!C141)</f>
        <v>1.4938463308028513</v>
      </c>
      <c r="E141" s="378">
        <f>IF(constants!$O$4=1,Data!D141,-Data!D141)</f>
        <v>4.4570968484011981</v>
      </c>
      <c r="F141" s="378">
        <f>IF(constants!$O$5=1,Data!E141,-Data!E141)</f>
        <v>0.96875000000000033</v>
      </c>
      <c r="G141" s="378">
        <f>IF(constants!$O$6=1,Data!F141,-Data!F141)</f>
        <v>-1.5625000000000002</v>
      </c>
      <c r="H141" s="394">
        <f>IF(constants!$O$7=1,Data!G141,-Data!G141)</f>
        <v>0</v>
      </c>
    </row>
    <row r="142" spans="1:8" s="93" customFormat="1">
      <c r="A142" s="519"/>
      <c r="B142" s="376">
        <f>Data!A142</f>
        <v>1.3900000000000001</v>
      </c>
      <c r="C142" s="378">
        <f>IF(constants!$O$2=1,Data!B142,-Data!B142)</f>
        <v>-1.4821272812667727</v>
      </c>
      <c r="D142" s="378">
        <f>IF(constants!$O$3=1,Data!C142,-Data!C142)</f>
        <v>1.5380578559926379</v>
      </c>
      <c r="E142" s="378">
        <f>IF(constants!$O$4=1,Data!D142,-Data!D142)</f>
        <v>4.3852081895560158</v>
      </c>
      <c r="F142" s="378">
        <f>IF(constants!$O$5=1,Data!E142,-Data!E142)</f>
        <v>0.953125</v>
      </c>
      <c r="G142" s="378">
        <f>IF(constants!$O$6=1,Data!F142,-Data!F142)</f>
        <v>-1.5625000000000002</v>
      </c>
      <c r="H142" s="394">
        <f>IF(constants!$O$7=1,Data!G142,-Data!G142)</f>
        <v>0</v>
      </c>
    </row>
    <row r="143" spans="1:8" s="93" customFormat="1">
      <c r="A143" s="519"/>
      <c r="B143" s="376">
        <f>Data!A143</f>
        <v>1.4</v>
      </c>
      <c r="C143" s="378">
        <f>IF(constants!$O$2=1,Data!B143,-Data!B143)</f>
        <v>-1.4665286404416822</v>
      </c>
      <c r="D143" s="378">
        <f>IF(constants!$O$3=1,Data!C143,-Data!C143)</f>
        <v>1.5815504945939711</v>
      </c>
      <c r="E143" s="378">
        <f>IF(constants!$O$4=1,Data!D143,-Data!D143)</f>
        <v>4.313319530710837</v>
      </c>
      <c r="F143" s="378">
        <f>IF(constants!$O$5=1,Data!E143,-Data!E143)</f>
        <v>0.93750000000000033</v>
      </c>
      <c r="G143" s="378">
        <f>IF(constants!$O$6=1,Data!F143,-Data!F143)</f>
        <v>-1.5625000000000002</v>
      </c>
      <c r="H143" s="394">
        <f>IF(constants!$O$7=1,Data!G143,-Data!G143)</f>
        <v>0</v>
      </c>
    </row>
    <row r="144" spans="1:8" s="93" customFormat="1">
      <c r="A144" s="519"/>
      <c r="B144" s="376">
        <f>Data!A144</f>
        <v>1.41</v>
      </c>
      <c r="C144" s="378">
        <f>IF(constants!$O$2=1,Data!B144,-Data!B144)</f>
        <v>-1.4504986676635214</v>
      </c>
      <c r="D144" s="378">
        <f>IF(constants!$O$3=1,Data!C144,-Data!C144)</f>
        <v>1.6243242466068528</v>
      </c>
      <c r="E144" s="378">
        <f>IF(constants!$O$4=1,Data!D144,-Data!D144)</f>
        <v>4.2414308718656564</v>
      </c>
      <c r="F144" s="378">
        <f>IF(constants!$O$5=1,Data!E144,-Data!E144)</f>
        <v>0.92187500000000033</v>
      </c>
      <c r="G144" s="378">
        <f>IF(constants!$O$6=1,Data!F144,-Data!F144)</f>
        <v>-1.5625000000000002</v>
      </c>
      <c r="H144" s="394">
        <f>IF(constants!$O$7=1,Data!G144,-Data!G144)</f>
        <v>0</v>
      </c>
    </row>
    <row r="145" spans="1:8" s="93" customFormat="1">
      <c r="A145" s="519"/>
      <c r="B145" s="376">
        <f>Data!A145</f>
        <v>1.42</v>
      </c>
      <c r="C145" s="378">
        <f>IF(constants!$O$2=1,Data!B145,-Data!B145)</f>
        <v>-1.4340445517981735</v>
      </c>
      <c r="D145" s="378">
        <f>IF(constants!$O$3=1,Data!C145,-Data!C145)</f>
        <v>1.6663791120312839</v>
      </c>
      <c r="E145" s="378">
        <f>IF(constants!$O$4=1,Data!D145,-Data!D145)</f>
        <v>4.1695422130204758</v>
      </c>
      <c r="F145" s="378">
        <f>IF(constants!$O$5=1,Data!E145,-Data!E145)</f>
        <v>0.90625000000000033</v>
      </c>
      <c r="G145" s="378">
        <f>IF(constants!$O$6=1,Data!F145,-Data!F145)</f>
        <v>-1.5625000000000002</v>
      </c>
      <c r="H145" s="394">
        <f>IF(constants!$O$7=1,Data!G145,-Data!G145)</f>
        <v>0</v>
      </c>
    </row>
    <row r="146" spans="1:8" s="93" customFormat="1">
      <c r="A146" s="519"/>
      <c r="B146" s="376">
        <f>Data!A146</f>
        <v>1.43</v>
      </c>
      <c r="C146" s="378">
        <f>IF(constants!$O$2=1,Data!B146,-Data!B146)</f>
        <v>-1.417173481711528</v>
      </c>
      <c r="D146" s="378">
        <f>IF(constants!$O$3=1,Data!C146,-Data!C146)</f>
        <v>1.7077150908672634</v>
      </c>
      <c r="E146" s="378">
        <f>IF(constants!$O$4=1,Data!D146,-Data!D146)</f>
        <v>4.0976535541752934</v>
      </c>
      <c r="F146" s="378">
        <f>IF(constants!$O$5=1,Data!E146,-Data!E146)</f>
        <v>0.890625</v>
      </c>
      <c r="G146" s="378">
        <f>IF(constants!$O$6=1,Data!F146,-Data!F146)</f>
        <v>-1.5625000000000002</v>
      </c>
      <c r="H146" s="394">
        <f>IF(constants!$O$7=1,Data!G146,-Data!G146)</f>
        <v>0</v>
      </c>
    </row>
    <row r="147" spans="1:8" s="93" customFormat="1">
      <c r="A147" s="519"/>
      <c r="B147" s="376">
        <f>Data!A147</f>
        <v>1.44</v>
      </c>
      <c r="C147" s="378">
        <f>IF(constants!$O$2=1,Data!B147,-Data!B147)</f>
        <v>-1.3998926462694592</v>
      </c>
      <c r="D147" s="378">
        <f>IF(constants!$O$3=1,Data!C147,-Data!C147)</f>
        <v>1.7483321831147931</v>
      </c>
      <c r="E147" s="378">
        <f>IF(constants!$O$4=1,Data!D147,-Data!D147)</f>
        <v>4.0257648953301128</v>
      </c>
      <c r="F147" s="378">
        <f>IF(constants!$O$5=1,Data!E147,-Data!E147)</f>
        <v>0.875</v>
      </c>
      <c r="G147" s="378">
        <f>IF(constants!$O$6=1,Data!F147,-Data!F147)</f>
        <v>-1.5625000000000002</v>
      </c>
      <c r="H147" s="394">
        <f>IF(constants!$O$7=1,Data!G147,-Data!G147)</f>
        <v>0</v>
      </c>
    </row>
    <row r="148" spans="1:8" s="93" customFormat="1">
      <c r="A148" s="519"/>
      <c r="B148" s="376">
        <f>Data!A148</f>
        <v>1.45</v>
      </c>
      <c r="C148" s="378">
        <f>IF(constants!$O$2=1,Data!B148,-Data!B148)</f>
        <v>-1.382209234337858</v>
      </c>
      <c r="D148" s="378">
        <f>IF(constants!$O$3=1,Data!C148,-Data!C148)</f>
        <v>1.7882303887738678</v>
      </c>
      <c r="E148" s="378">
        <f>IF(constants!$O$4=1,Data!D148,-Data!D148)</f>
        <v>3.953876236484934</v>
      </c>
      <c r="F148" s="378">
        <f>IF(constants!$O$5=1,Data!E148,-Data!E148)</f>
        <v>0.85937500000000033</v>
      </c>
      <c r="G148" s="378">
        <f>IF(constants!$O$6=1,Data!F148,-Data!F148)</f>
        <v>-1.5625000000000002</v>
      </c>
      <c r="H148" s="394">
        <f>IF(constants!$O$7=1,Data!G148,-Data!G148)</f>
        <v>0</v>
      </c>
    </row>
    <row r="149" spans="1:8" s="93" customFormat="1">
      <c r="A149" s="519"/>
      <c r="B149" s="376">
        <f>Data!A149</f>
        <v>1.46</v>
      </c>
      <c r="C149" s="378">
        <f>IF(constants!$O$2=1,Data!B149,-Data!B149)</f>
        <v>-1.364130434782612</v>
      </c>
      <c r="D149" s="378">
        <f>IF(constants!$O$3=1,Data!C149,-Data!C149)</f>
        <v>1.8274097078444926</v>
      </c>
      <c r="E149" s="378">
        <f>IF(constants!$O$4=1,Data!D149,-Data!D149)</f>
        <v>3.8819875776397517</v>
      </c>
      <c r="F149" s="378">
        <f>IF(constants!$O$5=1,Data!E149,-Data!E149)</f>
        <v>0.84375</v>
      </c>
      <c r="G149" s="378">
        <f>IF(constants!$O$6=1,Data!F149,-Data!F149)</f>
        <v>-1.5625000000000002</v>
      </c>
      <c r="H149" s="394">
        <f>IF(constants!$O$7=1,Data!G149,-Data!G149)</f>
        <v>0</v>
      </c>
    </row>
    <row r="150" spans="1:8" s="93" customFormat="1">
      <c r="A150" s="519"/>
      <c r="B150" s="376">
        <f>Data!A150</f>
        <v>1.47</v>
      </c>
      <c r="C150" s="378">
        <f>IF(constants!$O$2=1,Data!B150,-Data!B150)</f>
        <v>-1.345663436469597</v>
      </c>
      <c r="D150" s="378">
        <f>IF(constants!$O$3=1,Data!C150,-Data!C150)</f>
        <v>1.8658701403266633</v>
      </c>
      <c r="E150" s="378">
        <f>IF(constants!$O$4=1,Data!D150,-Data!D150)</f>
        <v>3.8100989187945711</v>
      </c>
      <c r="F150" s="378">
        <f>IF(constants!$O$5=1,Data!E150,-Data!E150)</f>
        <v>0.828125</v>
      </c>
      <c r="G150" s="378">
        <f>IF(constants!$O$6=1,Data!F150,-Data!F150)</f>
        <v>-1.5625000000000002</v>
      </c>
      <c r="H150" s="394">
        <f>IF(constants!$O$7=1,Data!G150,-Data!G150)</f>
        <v>0</v>
      </c>
    </row>
    <row r="151" spans="1:8" s="93" customFormat="1">
      <c r="A151" s="519"/>
      <c r="B151" s="376">
        <f>Data!A151</f>
        <v>1.48</v>
      </c>
      <c r="C151" s="378">
        <f>IF(constants!$O$2=1,Data!B151,-Data!B151)</f>
        <v>-1.3268154282647053</v>
      </c>
      <c r="D151" s="378">
        <f>IF(constants!$O$3=1,Data!C151,-Data!C151)</f>
        <v>1.9036116862203833</v>
      </c>
      <c r="E151" s="378">
        <f>IF(constants!$O$4=1,Data!D151,-Data!D151)</f>
        <v>3.7382102599493923</v>
      </c>
      <c r="F151" s="378">
        <f>IF(constants!$O$5=1,Data!E151,-Data!E151)</f>
        <v>0.81250000000000033</v>
      </c>
      <c r="G151" s="378">
        <f>IF(constants!$O$6=1,Data!F151,-Data!F151)</f>
        <v>-1.5625000000000002</v>
      </c>
      <c r="H151" s="394">
        <f>IF(constants!$O$7=1,Data!G151,-Data!G151)</f>
        <v>0</v>
      </c>
    </row>
    <row r="152" spans="1:8" s="93" customFormat="1">
      <c r="A152" s="519"/>
      <c r="B152" s="376">
        <f>Data!A152</f>
        <v>1.49</v>
      </c>
      <c r="C152" s="378">
        <f>IF(constants!$O$2=1,Data!B152,-Data!B152)</f>
        <v>-1.3075935990338174</v>
      </c>
      <c r="D152" s="378">
        <f>IF(constants!$O$3=1,Data!C152,-Data!C152)</f>
        <v>1.940634345525651</v>
      </c>
      <c r="E152" s="378">
        <f>IF(constants!$O$4=1,Data!D152,-Data!D152)</f>
        <v>3.6663216011042117</v>
      </c>
      <c r="F152" s="378">
        <f>IF(constants!$O$5=1,Data!E152,-Data!E152)</f>
        <v>0.79687500000000033</v>
      </c>
      <c r="G152" s="378">
        <f>IF(constants!$O$6=1,Data!F152,-Data!F152)</f>
        <v>-1.5625000000000002</v>
      </c>
      <c r="H152" s="394">
        <f>IF(constants!$O$7=1,Data!G152,-Data!G152)</f>
        <v>0</v>
      </c>
    </row>
    <row r="153" spans="1:8" s="93" customFormat="1">
      <c r="A153" s="519"/>
      <c r="B153" s="376">
        <f>Data!A153</f>
        <v>1.5</v>
      </c>
      <c r="C153" s="378">
        <f>IF(constants!$O$2=1,Data!B153,-Data!B153)</f>
        <v>-1.2880051376428199</v>
      </c>
      <c r="D153" s="378">
        <f>IF(constants!$O$3=1,Data!C153,-Data!C153)</f>
        <v>1.976938118242467</v>
      </c>
      <c r="E153" s="378">
        <f>IF(constants!$O$4=1,Data!D153,-Data!D153)</f>
        <v>3.5944329422590293</v>
      </c>
      <c r="F153" s="378">
        <f>IF(constants!$O$5=1,Data!E153,-Data!E153)</f>
        <v>0.78125</v>
      </c>
      <c r="G153" s="378">
        <f>IF(constants!$O$6=1,Data!F153,-Data!F153)</f>
        <v>-1.5625000000000002</v>
      </c>
      <c r="H153" s="394">
        <f>IF(constants!$O$7=1,Data!G153,-Data!G153)</f>
        <v>0</v>
      </c>
    </row>
    <row r="154" spans="1:8" s="93" customFormat="1">
      <c r="A154" s="519"/>
      <c r="B154" s="376">
        <f>Data!A154</f>
        <v>1.51</v>
      </c>
      <c r="C154" s="378">
        <f>IF(constants!$O$2=1,Data!B154,-Data!B154)</f>
        <v>-1.2680572329575943</v>
      </c>
      <c r="D154" s="378">
        <f>IF(constants!$O$3=1,Data!C154,-Data!C154)</f>
        <v>2.0125230043708306</v>
      </c>
      <c r="E154" s="378">
        <f>IF(constants!$O$4=1,Data!D154,-Data!D154)</f>
        <v>3.5225442834138487</v>
      </c>
      <c r="F154" s="378">
        <f>IF(constants!$O$5=1,Data!E154,-Data!E154)</f>
        <v>0.765625</v>
      </c>
      <c r="G154" s="378">
        <f>IF(constants!$O$6=1,Data!F154,-Data!F154)</f>
        <v>-1.5625000000000002</v>
      </c>
      <c r="H154" s="394">
        <f>IF(constants!$O$7=1,Data!G154,-Data!G154)</f>
        <v>0</v>
      </c>
    </row>
    <row r="155" spans="1:8" s="93" customFormat="1">
      <c r="A155" s="519"/>
      <c r="B155" s="376">
        <f>Data!A155</f>
        <v>1.52</v>
      </c>
      <c r="C155" s="378">
        <f>IF(constants!$O$2=1,Data!B155,-Data!B155)</f>
        <v>-1.2477570738440331</v>
      </c>
      <c r="D155" s="378">
        <f>IF(constants!$O$3=1,Data!C155,-Data!C155)</f>
        <v>2.0473890039107427</v>
      </c>
      <c r="E155" s="378">
        <f>IF(constants!$O$4=1,Data!D155,-Data!D155)</f>
        <v>3.4506556245686681</v>
      </c>
      <c r="F155" s="378">
        <f>IF(constants!$O$5=1,Data!E155,-Data!E155)</f>
        <v>0.75</v>
      </c>
      <c r="G155" s="378">
        <f>IF(constants!$O$6=1,Data!F155,-Data!F155)</f>
        <v>-1.5625000000000002</v>
      </c>
      <c r="H155" s="394">
        <f>IF(constants!$O$7=1,Data!G155,-Data!G155)</f>
        <v>0</v>
      </c>
    </row>
    <row r="156" spans="1:8" s="93" customFormat="1">
      <c r="A156" s="519"/>
      <c r="B156" s="376">
        <f>Data!A156</f>
        <v>1.53</v>
      </c>
      <c r="C156" s="378">
        <f>IF(constants!$O$2=1,Data!B156,-Data!B156)</f>
        <v>-1.2271118491680104</v>
      </c>
      <c r="D156" s="378">
        <f>IF(constants!$O$3=1,Data!C156,-Data!C156)</f>
        <v>2.0815361168622033</v>
      </c>
      <c r="E156" s="378">
        <f>IF(constants!$O$4=1,Data!D156,-Data!D156)</f>
        <v>3.3787669657234876</v>
      </c>
      <c r="F156" s="378">
        <f>IF(constants!$O$5=1,Data!E156,-Data!E156)</f>
        <v>0.734375</v>
      </c>
      <c r="G156" s="378">
        <f>IF(constants!$O$6=1,Data!F156,-Data!F156)</f>
        <v>-1.5625000000000002</v>
      </c>
      <c r="H156" s="394">
        <f>IF(constants!$O$7=1,Data!G156,-Data!G156)</f>
        <v>0</v>
      </c>
    </row>
    <row r="157" spans="1:8" s="93" customFormat="1">
      <c r="A157" s="519"/>
      <c r="B157" s="376">
        <f>Data!A157</f>
        <v>1.54</v>
      </c>
      <c r="C157" s="378">
        <f>IF(constants!$O$2=1,Data!B157,-Data!B157)</f>
        <v>-1.2061287477954163</v>
      </c>
      <c r="D157" s="378">
        <f>IF(constants!$O$3=1,Data!C157,-Data!C157)</f>
        <v>2.1149643432252141</v>
      </c>
      <c r="E157" s="378">
        <f>IF(constants!$O$4=1,Data!D157,-Data!D157)</f>
        <v>3.306878306878307</v>
      </c>
      <c r="F157" s="378">
        <f>IF(constants!$O$5=1,Data!E157,-Data!E157)</f>
        <v>0.71875</v>
      </c>
      <c r="G157" s="378">
        <f>IF(constants!$O$6=1,Data!F157,-Data!F157)</f>
        <v>-1.5625000000000002</v>
      </c>
      <c r="H157" s="394">
        <f>IF(constants!$O$7=1,Data!G157,-Data!G157)</f>
        <v>0</v>
      </c>
    </row>
    <row r="158" spans="1:8" s="93" customFormat="1">
      <c r="A158" s="519"/>
      <c r="B158" s="376">
        <f>Data!A158</f>
        <v>1.55</v>
      </c>
      <c r="C158" s="378">
        <f>IF(constants!$O$2=1,Data!B158,-Data!B158)</f>
        <v>-1.1848149585921322</v>
      </c>
      <c r="D158" s="378">
        <f>IF(constants!$O$3=1,Data!C158,-Data!C158)</f>
        <v>2.1476736829997698</v>
      </c>
      <c r="E158" s="378">
        <f>IF(constants!$O$4=1,Data!D158,-Data!D158)</f>
        <v>3.2349896480331264</v>
      </c>
      <c r="F158" s="378">
        <f>IF(constants!$O$5=1,Data!E158,-Data!E158)</f>
        <v>0.703125</v>
      </c>
      <c r="G158" s="378">
        <f>IF(constants!$O$6=1,Data!F158,-Data!F158)</f>
        <v>-1.5625000000000002</v>
      </c>
      <c r="H158" s="394">
        <f>IF(constants!$O$7=1,Data!G158,-Data!G158)</f>
        <v>0</v>
      </c>
    </row>
    <row r="159" spans="1:8" s="93" customFormat="1">
      <c r="A159" s="519"/>
      <c r="B159" s="376">
        <f>Data!A159</f>
        <v>1.56</v>
      </c>
      <c r="C159" s="378">
        <f>IF(constants!$O$2=1,Data!B159,-Data!B159)</f>
        <v>-1.163177670424048</v>
      </c>
      <c r="D159" s="378">
        <f>IF(constants!$O$3=1,Data!C159,-Data!C159)</f>
        <v>2.1796641361858757</v>
      </c>
      <c r="E159" s="378">
        <f>IF(constants!$O$4=1,Data!D159,-Data!D159)</f>
        <v>3.1631009891879476</v>
      </c>
      <c r="F159" s="378">
        <f>IF(constants!$O$5=1,Data!E159,-Data!E159)</f>
        <v>0.68750000000000033</v>
      </c>
      <c r="G159" s="378">
        <f>IF(constants!$O$6=1,Data!F159,-Data!F159)</f>
        <v>-1.5625000000000002</v>
      </c>
      <c r="H159" s="394">
        <f>IF(constants!$O$7=1,Data!G159,-Data!G159)</f>
        <v>0</v>
      </c>
    </row>
    <row r="160" spans="1:8" s="93" customFormat="1">
      <c r="A160" s="519"/>
      <c r="B160" s="376">
        <f>Data!A160</f>
        <v>1.5699999999999998</v>
      </c>
      <c r="C160" s="378">
        <f>IF(constants!$O$2=1,Data!B160,-Data!B160)</f>
        <v>-1.1412240721570406</v>
      </c>
      <c r="D160" s="378">
        <f>IF(constants!$O$3=1,Data!C160,-Data!C160)</f>
        <v>2.2109357027835284</v>
      </c>
      <c r="E160" s="378">
        <f>IF(constants!$O$4=1,Data!D160,-Data!D160)</f>
        <v>3.091212330342767</v>
      </c>
      <c r="F160" s="378">
        <f>IF(constants!$O$5=1,Data!E160,-Data!E160)</f>
        <v>0.67187500000000033</v>
      </c>
      <c r="G160" s="378">
        <f>IF(constants!$O$6=1,Data!F160,-Data!F160)</f>
        <v>-1.5625000000000002</v>
      </c>
      <c r="H160" s="394">
        <f>IF(constants!$O$7=1,Data!G160,-Data!G160)</f>
        <v>0</v>
      </c>
    </row>
    <row r="161" spans="1:8" s="93" customFormat="1">
      <c r="A161" s="519"/>
      <c r="B161" s="376">
        <f>Data!A161</f>
        <v>1.58</v>
      </c>
      <c r="C161" s="378">
        <f>IF(constants!$O$2=1,Data!B161,-Data!B161)</f>
        <v>-1.1189613526570028</v>
      </c>
      <c r="D161" s="378">
        <f>IF(constants!$O$3=1,Data!C161,-Data!C161)</f>
        <v>2.2414883827927294</v>
      </c>
      <c r="E161" s="378">
        <f>IF(constants!$O$4=1,Data!D161,-Data!D161)</f>
        <v>3.0193236714975846</v>
      </c>
      <c r="F161" s="378">
        <f>IF(constants!$O$5=1,Data!E161,-Data!E161)</f>
        <v>0.65625</v>
      </c>
      <c r="G161" s="378">
        <f>IF(constants!$O$6=1,Data!F161,-Data!F161)</f>
        <v>-1.5625000000000002</v>
      </c>
      <c r="H161" s="394">
        <f>IF(constants!$O$7=1,Data!G161,-Data!G161)</f>
        <v>0</v>
      </c>
    </row>
    <row r="162" spans="1:8" s="93" customFormat="1">
      <c r="A162" s="519"/>
      <c r="B162" s="376">
        <f>Data!A162</f>
        <v>1.5899999999999999</v>
      </c>
      <c r="C162" s="378">
        <f>IF(constants!$O$2=1,Data!B162,-Data!B162)</f>
        <v>-1.0963967007898177</v>
      </c>
      <c r="D162" s="378">
        <f>IF(constants!$O$3=1,Data!C162,-Data!C162)</f>
        <v>2.2713221762134808</v>
      </c>
      <c r="E162" s="378">
        <f>IF(constants!$O$4=1,Data!D162,-Data!D162)</f>
        <v>2.9474350126524058</v>
      </c>
      <c r="F162" s="378">
        <f>IF(constants!$O$5=1,Data!E162,-Data!E162)</f>
        <v>0.64062500000000033</v>
      </c>
      <c r="G162" s="378">
        <f>IF(constants!$O$6=1,Data!F162,-Data!F162)</f>
        <v>-1.5625000000000002</v>
      </c>
      <c r="H162" s="394">
        <f>IF(constants!$O$7=1,Data!G162,-Data!G162)</f>
        <v>0</v>
      </c>
    </row>
    <row r="163" spans="1:8" s="93" customFormat="1">
      <c r="A163" s="519"/>
      <c r="B163" s="376">
        <f>Data!A163</f>
        <v>1.6</v>
      </c>
      <c r="C163" s="378">
        <f>IF(constants!$O$2=1,Data!B163,-Data!B163)</f>
        <v>-1.0735373054213602</v>
      </c>
      <c r="D163" s="378">
        <f>IF(constants!$O$3=1,Data!C163,-Data!C163)</f>
        <v>2.300437083045777</v>
      </c>
      <c r="E163" s="378">
        <f>IF(constants!$O$4=1,Data!D163,-Data!D163)</f>
        <v>2.8755463538072217</v>
      </c>
      <c r="F163" s="378">
        <f>IF(constants!$O$5=1,Data!E163,-Data!E163)</f>
        <v>0.62499999999999956</v>
      </c>
      <c r="G163" s="378">
        <f>IF(constants!$O$6=1,Data!F163,-Data!F163)</f>
        <v>-1.5625000000000002</v>
      </c>
      <c r="H163" s="394">
        <f>IF(constants!$O$7=1,Data!G163,-Data!G163)</f>
        <v>0</v>
      </c>
    </row>
    <row r="164" spans="1:8" s="93" customFormat="1">
      <c r="A164" s="519"/>
      <c r="B164" s="376">
        <f>Data!A164</f>
        <v>1.6099999999999999</v>
      </c>
      <c r="C164" s="378">
        <f>IF(constants!$O$2=1,Data!B164,-Data!B164)</f>
        <v>-1.0503903554175276</v>
      </c>
      <c r="D164" s="378">
        <f>IF(constants!$O$3=1,Data!C164,-Data!C164)</f>
        <v>2.3288331032896235</v>
      </c>
      <c r="E164" s="378">
        <f>IF(constants!$O$4=1,Data!D164,-Data!D164)</f>
        <v>2.8036576949620429</v>
      </c>
      <c r="F164" s="378">
        <f>IF(constants!$O$5=1,Data!E164,-Data!E164)</f>
        <v>0.609375</v>
      </c>
      <c r="G164" s="378">
        <f>IF(constants!$O$6=1,Data!F164,-Data!F164)</f>
        <v>-1.5625000000000002</v>
      </c>
      <c r="H164" s="394">
        <f>IF(constants!$O$7=1,Data!G164,-Data!G164)</f>
        <v>0</v>
      </c>
    </row>
    <row r="165" spans="1:8" s="93" customFormat="1">
      <c r="A165" s="519"/>
      <c r="B165" s="376">
        <f>Data!A165</f>
        <v>1.62</v>
      </c>
      <c r="C165" s="378">
        <f>IF(constants!$O$2=1,Data!B165,-Data!B165)</f>
        <v>-1.0269630396441976</v>
      </c>
      <c r="D165" s="378">
        <f>IF(constants!$O$3=1,Data!C165,-Data!C165)</f>
        <v>2.3565102369450184</v>
      </c>
      <c r="E165" s="378">
        <f>IF(constants!$O$4=1,Data!D165,-Data!D165)</f>
        <v>2.7317690361168623</v>
      </c>
      <c r="F165" s="378">
        <f>IF(constants!$O$5=1,Data!E165,-Data!E165)</f>
        <v>0.59375</v>
      </c>
      <c r="G165" s="378">
        <f>IF(constants!$O$6=1,Data!F165,-Data!F165)</f>
        <v>-1.5625000000000002</v>
      </c>
      <c r="H165" s="394">
        <f>IF(constants!$O$7=1,Data!G165,-Data!G165)</f>
        <v>0</v>
      </c>
    </row>
    <row r="166" spans="1:8" s="93" customFormat="1">
      <c r="A166" s="519"/>
      <c r="B166" s="376">
        <f>Data!A166</f>
        <v>1.63</v>
      </c>
      <c r="C166" s="378">
        <f>IF(constants!$O$2=1,Data!B166,-Data!B166)</f>
        <v>-1.0032625469672549</v>
      </c>
      <c r="D166" s="378">
        <f>IF(constants!$O$3=1,Data!C166,-Data!C166)</f>
        <v>2.38346848401196</v>
      </c>
      <c r="E166" s="378">
        <f>IF(constants!$O$4=1,Data!D166,-Data!D166)</f>
        <v>2.6598803772716835</v>
      </c>
      <c r="F166" s="378">
        <f>IF(constants!$O$5=1,Data!E166,-Data!E166)</f>
        <v>0.57812500000000033</v>
      </c>
      <c r="G166" s="378">
        <f>IF(constants!$O$6=1,Data!F166,-Data!F166)</f>
        <v>-1.5625000000000002</v>
      </c>
      <c r="H166" s="394">
        <f>IF(constants!$O$7=1,Data!G166,-Data!G166)</f>
        <v>0</v>
      </c>
    </row>
    <row r="167" spans="1:8" s="93" customFormat="1">
      <c r="A167" s="519"/>
      <c r="B167" s="376">
        <f>Data!A167</f>
        <v>1.6400000000000001</v>
      </c>
      <c r="C167" s="378">
        <f>IF(constants!$O$2=1,Data!B167,-Data!B167)</f>
        <v>-0.97929606625258536</v>
      </c>
      <c r="D167" s="378">
        <f>IF(constants!$O$3=1,Data!C167,-Data!C167)</f>
        <v>2.4097078444904518</v>
      </c>
      <c r="E167" s="378">
        <f>IF(constants!$O$4=1,Data!D167,-Data!D167)</f>
        <v>2.5879917184265011</v>
      </c>
      <c r="F167" s="378">
        <f>IF(constants!$O$5=1,Data!E167,-Data!E167)</f>
        <v>0.5625</v>
      </c>
      <c r="G167" s="378">
        <f>IF(constants!$O$6=1,Data!F167,-Data!F167)</f>
        <v>-1.5625000000000002</v>
      </c>
      <c r="H167" s="394">
        <f>IF(constants!$O$7=1,Data!G167,-Data!G167)</f>
        <v>0</v>
      </c>
    </row>
    <row r="168" spans="1:8" s="93" customFormat="1">
      <c r="A168" s="519"/>
      <c r="B168" s="376">
        <f>Data!A168</f>
        <v>1.65</v>
      </c>
      <c r="C168" s="378">
        <f>IF(constants!$O$2=1,Data!B168,-Data!B168)</f>
        <v>-0.95507078636607812</v>
      </c>
      <c r="D168" s="378">
        <f>IF(constants!$O$3=1,Data!C168,-Data!C168)</f>
        <v>2.4352283183804904</v>
      </c>
      <c r="E168" s="378">
        <f>IF(constants!$O$4=1,Data!D168,-Data!D168)</f>
        <v>2.5161030595813223</v>
      </c>
      <c r="F168" s="378">
        <f>IF(constants!$O$5=1,Data!E168,-Data!E168)</f>
        <v>0.54687500000000033</v>
      </c>
      <c r="G168" s="378">
        <f>IF(constants!$O$6=1,Data!F168,-Data!F168)</f>
        <v>-1.5625000000000002</v>
      </c>
      <c r="H168" s="394">
        <f>IF(constants!$O$7=1,Data!G168,-Data!G168)</f>
        <v>0</v>
      </c>
    </row>
    <row r="169" spans="1:8" s="93" customFormat="1">
      <c r="A169" s="519"/>
      <c r="B169" s="376">
        <f>Data!A169</f>
        <v>1.6600000000000001</v>
      </c>
      <c r="C169" s="378">
        <f>IF(constants!$O$2=1,Data!B169,-Data!B169)</f>
        <v>-0.93059389617360644</v>
      </c>
      <c r="D169" s="378">
        <f>IF(constants!$O$3=1,Data!C169,-Data!C169)</f>
        <v>2.4600299056820809</v>
      </c>
      <c r="E169" s="378">
        <f>IF(constants!$O$4=1,Data!D169,-Data!D169)</f>
        <v>2.4442144007361399</v>
      </c>
      <c r="F169" s="378">
        <f>IF(constants!$O$5=1,Data!E169,-Data!E169)</f>
        <v>0.53125</v>
      </c>
      <c r="G169" s="378">
        <f>IF(constants!$O$6=1,Data!F169,-Data!F169)</f>
        <v>-1.5625000000000002</v>
      </c>
      <c r="H169" s="394">
        <f>IF(constants!$O$7=1,Data!G169,-Data!G169)</f>
        <v>0</v>
      </c>
    </row>
    <row r="170" spans="1:8" s="93" customFormat="1">
      <c r="A170" s="519"/>
      <c r="B170" s="376">
        <f>Data!A170</f>
        <v>1.67</v>
      </c>
      <c r="C170" s="378">
        <f>IF(constants!$O$2=1,Data!B170,-Data!B170)</f>
        <v>-0.9058725845410649</v>
      </c>
      <c r="D170" s="378">
        <f>IF(constants!$O$3=1,Data!C170,-Data!C170)</f>
        <v>2.4841126063952164</v>
      </c>
      <c r="E170" s="378">
        <f>IF(constants!$O$4=1,Data!D170,-Data!D170)</f>
        <v>2.3723257418909593</v>
      </c>
      <c r="F170" s="378">
        <f>IF(constants!$O$5=1,Data!E170,-Data!E170)</f>
        <v>0.515625</v>
      </c>
      <c r="G170" s="378">
        <f>IF(constants!$O$6=1,Data!F170,-Data!F170)</f>
        <v>-1.5625000000000002</v>
      </c>
      <c r="H170" s="394">
        <f>IF(constants!$O$7=1,Data!G170,-Data!G170)</f>
        <v>0</v>
      </c>
    </row>
    <row r="171" spans="1:8" s="93" customFormat="1">
      <c r="A171" s="519"/>
      <c r="B171" s="376">
        <f>Data!A171</f>
        <v>1.6800000000000002</v>
      </c>
      <c r="C171" s="378">
        <f>IF(constants!$O$2=1,Data!B171,-Data!B171)</f>
        <v>-0.88091404033433029</v>
      </c>
      <c r="D171" s="378">
        <f>IF(constants!$O$3=1,Data!C171,-Data!C171)</f>
        <v>2.5074764205198967</v>
      </c>
      <c r="E171" s="378">
        <f>IF(constants!$O$4=1,Data!D171,-Data!D171)</f>
        <v>2.300437083045777</v>
      </c>
      <c r="F171" s="378">
        <f>IF(constants!$O$5=1,Data!E171,-Data!E171)</f>
        <v>0.49999999999999961</v>
      </c>
      <c r="G171" s="378">
        <f>IF(constants!$O$6=1,Data!F171,-Data!F171)</f>
        <v>-1.5625000000000002</v>
      </c>
      <c r="H171" s="394">
        <f>IF(constants!$O$7=1,Data!G171,-Data!G171)</f>
        <v>0</v>
      </c>
    </row>
    <row r="172" spans="1:8" s="93" customFormat="1">
      <c r="A172" s="519"/>
      <c r="B172" s="376">
        <f>Data!A172</f>
        <v>1.69</v>
      </c>
      <c r="C172" s="378">
        <f>IF(constants!$O$2=1,Data!B172,-Data!B172)</f>
        <v>-0.85572545241929543</v>
      </c>
      <c r="D172" s="378">
        <f>IF(constants!$O$3=1,Data!C172,-Data!C172)</f>
        <v>2.5301213480561326</v>
      </c>
      <c r="E172" s="378">
        <f>IF(constants!$O$4=1,Data!D172,-Data!D172)</f>
        <v>2.2285484242005982</v>
      </c>
      <c r="F172" s="378">
        <f>IF(constants!$O$5=1,Data!E172,-Data!E172)</f>
        <v>0.484375</v>
      </c>
      <c r="G172" s="378">
        <f>IF(constants!$O$6=1,Data!F172,-Data!F172)</f>
        <v>-1.5625000000000002</v>
      </c>
      <c r="H172" s="394">
        <f>IF(constants!$O$7=1,Data!G172,-Data!G172)</f>
        <v>0</v>
      </c>
    </row>
    <row r="173" spans="1:8" s="93" customFormat="1">
      <c r="A173" s="519"/>
      <c r="B173" s="376">
        <f>Data!A173</f>
        <v>1.7</v>
      </c>
      <c r="C173" s="378">
        <f>IF(constants!$O$2=1,Data!B173,-Data!B173)</f>
        <v>-0.83031400966183622</v>
      </c>
      <c r="D173" s="378">
        <f>IF(constants!$O$3=1,Data!C173,-Data!C173)</f>
        <v>2.5520473890039135</v>
      </c>
      <c r="E173" s="378">
        <f>IF(constants!$O$4=1,Data!D173,-Data!D173)</f>
        <v>2.1566597653554194</v>
      </c>
      <c r="F173" s="378">
        <f>IF(constants!$O$5=1,Data!E173,-Data!E173)</f>
        <v>0.46875000000000039</v>
      </c>
      <c r="G173" s="378">
        <f>IF(constants!$O$6=1,Data!F173,-Data!F173)</f>
        <v>-1.5625000000000002</v>
      </c>
      <c r="H173" s="394">
        <f>IF(constants!$O$7=1,Data!G173,-Data!G173)</f>
        <v>0</v>
      </c>
    </row>
    <row r="174" spans="1:8" s="93" customFormat="1">
      <c r="A174" s="519"/>
      <c r="B174" s="376">
        <f>Data!A174</f>
        <v>1.71</v>
      </c>
      <c r="C174" s="378">
        <f>IF(constants!$O$2=1,Data!B174,-Data!B174)</f>
        <v>-0.80468690092784545</v>
      </c>
      <c r="D174" s="378">
        <f>IF(constants!$O$3=1,Data!C174,-Data!C174)</f>
        <v>2.573254543363241</v>
      </c>
      <c r="E174" s="378">
        <f>IF(constants!$O$4=1,Data!D174,-Data!D174)</f>
        <v>2.084771106510237</v>
      </c>
      <c r="F174" s="378">
        <f>IF(constants!$O$5=1,Data!E174,-Data!E174)</f>
        <v>0.453125</v>
      </c>
      <c r="G174" s="378">
        <f>IF(constants!$O$6=1,Data!F174,-Data!F174)</f>
        <v>-1.5625000000000002</v>
      </c>
      <c r="H174" s="394">
        <f>IF(constants!$O$7=1,Data!G174,-Data!G174)</f>
        <v>0</v>
      </c>
    </row>
    <row r="175" spans="1:8" s="93" customFormat="1">
      <c r="A175" s="519"/>
      <c r="B175" s="376">
        <f>Data!A175</f>
        <v>1.72</v>
      </c>
      <c r="C175" s="378">
        <f>IF(constants!$O$2=1,Data!B175,-Data!B175)</f>
        <v>-0.77885131508320082</v>
      </c>
      <c r="D175" s="378">
        <f>IF(constants!$O$3=1,Data!C175,-Data!C175)</f>
        <v>2.593742811134117</v>
      </c>
      <c r="E175" s="378">
        <f>IF(constants!$O$4=1,Data!D175,-Data!D175)</f>
        <v>2.0128824476650564</v>
      </c>
      <c r="F175" s="378">
        <f>IF(constants!$O$5=1,Data!E175,-Data!E175)</f>
        <v>0.4375</v>
      </c>
      <c r="G175" s="378">
        <f>IF(constants!$O$6=1,Data!F175,-Data!F175)</f>
        <v>-1.5625000000000002</v>
      </c>
      <c r="H175" s="394">
        <f>IF(constants!$O$7=1,Data!G175,-Data!G175)</f>
        <v>0</v>
      </c>
    </row>
    <row r="176" spans="1:8" s="93" customFormat="1">
      <c r="A176" s="519"/>
      <c r="B176" s="376">
        <f>Data!A176</f>
        <v>1.73</v>
      </c>
      <c r="C176" s="378">
        <f>IF(constants!$O$2=1,Data!B176,-Data!B176)</f>
        <v>-0.75281444099378803</v>
      </c>
      <c r="D176" s="378">
        <f>IF(constants!$O$3=1,Data!C176,-Data!C176)</f>
        <v>2.6135121923165414</v>
      </c>
      <c r="E176" s="378">
        <f>IF(constants!$O$4=1,Data!D176,-Data!D176)</f>
        <v>1.9409937888198776</v>
      </c>
      <c r="F176" s="378">
        <f>IF(constants!$O$5=1,Data!E176,-Data!E176)</f>
        <v>0.42187500000000039</v>
      </c>
      <c r="G176" s="378">
        <f>IF(constants!$O$6=1,Data!F176,-Data!F176)</f>
        <v>-1.5625000000000002</v>
      </c>
      <c r="H176" s="394">
        <f>IF(constants!$O$7=1,Data!G176,-Data!G176)</f>
        <v>0</v>
      </c>
    </row>
    <row r="177" spans="1:8" s="93" customFormat="1">
      <c r="A177" s="519"/>
      <c r="B177" s="376">
        <f>Data!A177</f>
        <v>1.74</v>
      </c>
      <c r="C177" s="378">
        <f>IF(constants!$O$2=1,Data!B177,-Data!B177)</f>
        <v>-0.72658346752549541</v>
      </c>
      <c r="D177" s="378">
        <f>IF(constants!$O$3=1,Data!C177,-Data!C177)</f>
        <v>2.6325626869105125</v>
      </c>
      <c r="E177" s="378">
        <f>IF(constants!$O$4=1,Data!D177,-Data!D177)</f>
        <v>1.8691051299746952</v>
      </c>
      <c r="F177" s="378">
        <f>IF(constants!$O$5=1,Data!E177,-Data!E177)</f>
        <v>0.40625</v>
      </c>
      <c r="G177" s="378">
        <f>IF(constants!$O$6=1,Data!F177,-Data!F177)</f>
        <v>-1.5625000000000002</v>
      </c>
      <c r="H177" s="394">
        <f>IF(constants!$O$7=1,Data!G177,-Data!G177)</f>
        <v>0</v>
      </c>
    </row>
    <row r="178" spans="1:8" s="93" customFormat="1">
      <c r="A178" s="519"/>
      <c r="B178" s="376">
        <f>Data!A178</f>
        <v>1.75</v>
      </c>
      <c r="C178" s="378">
        <f>IF(constants!$O$2=1,Data!B178,-Data!B178)</f>
        <v>-0.70016558354420599</v>
      </c>
      <c r="D178" s="378">
        <f>IF(constants!$O$3=1,Data!C178,-Data!C178)</f>
        <v>2.6508942949160339</v>
      </c>
      <c r="E178" s="378">
        <f>IF(constants!$O$4=1,Data!D178,-Data!D178)</f>
        <v>1.7972164711295147</v>
      </c>
      <c r="F178" s="378">
        <f>IF(constants!$O$5=1,Data!E178,-Data!E178)</f>
        <v>0.390625</v>
      </c>
      <c r="G178" s="378">
        <f>IF(constants!$O$6=1,Data!F178,-Data!F178)</f>
        <v>-1.5625000000000002</v>
      </c>
      <c r="H178" s="394">
        <f>IF(constants!$O$7=1,Data!G178,-Data!G178)</f>
        <v>0</v>
      </c>
    </row>
    <row r="179" spans="1:8" s="93" customFormat="1">
      <c r="A179" s="519"/>
      <c r="B179" s="376">
        <f>Data!A179</f>
        <v>1.76</v>
      </c>
      <c r="C179" s="378">
        <f>IF(constants!$O$2=1,Data!B179,-Data!B179)</f>
        <v>-0.6735679779158037</v>
      </c>
      <c r="D179" s="378">
        <f>IF(constants!$O$3=1,Data!C179,-Data!C179)</f>
        <v>2.6685070163331037</v>
      </c>
      <c r="E179" s="378">
        <f>IF(constants!$O$4=1,Data!D179,-Data!D179)</f>
        <v>1.7253278122843341</v>
      </c>
      <c r="F179" s="378">
        <f>IF(constants!$O$5=1,Data!E179,-Data!E179)</f>
        <v>0.375</v>
      </c>
      <c r="G179" s="378">
        <f>IF(constants!$O$6=1,Data!F179,-Data!F179)</f>
        <v>-1.5625000000000002</v>
      </c>
      <c r="H179" s="394">
        <f>IF(constants!$O$7=1,Data!G179,-Data!G179)</f>
        <v>0</v>
      </c>
    </row>
    <row r="180" spans="1:8" s="93" customFormat="1">
      <c r="A180" s="519"/>
      <c r="B180" s="376">
        <f>Data!A180</f>
        <v>1.77</v>
      </c>
      <c r="C180" s="378">
        <f>IF(constants!$O$2=1,Data!B180,-Data!B180)</f>
        <v>-0.64679783950617153</v>
      </c>
      <c r="D180" s="378">
        <f>IF(constants!$O$3=1,Data!C180,-Data!C180)</f>
        <v>2.6854008511617184</v>
      </c>
      <c r="E180" s="378">
        <f>IF(constants!$O$4=1,Data!D180,-Data!D180)</f>
        <v>1.6534391534391517</v>
      </c>
      <c r="F180" s="378">
        <f>IF(constants!$O$5=1,Data!E180,-Data!E180)</f>
        <v>0.35937499999999961</v>
      </c>
      <c r="G180" s="378">
        <f>IF(constants!$O$6=1,Data!F180,-Data!F180)</f>
        <v>-1.5625000000000002</v>
      </c>
      <c r="H180" s="394">
        <f>IF(constants!$O$7=1,Data!G180,-Data!G180)</f>
        <v>0</v>
      </c>
    </row>
    <row r="181" spans="1:8" s="93" customFormat="1">
      <c r="A181" s="519"/>
      <c r="B181" s="376">
        <f>Data!A181</f>
        <v>1.78</v>
      </c>
      <c r="C181" s="378">
        <f>IF(constants!$O$2=1,Data!B181,-Data!B181)</f>
        <v>-0.61986235718119875</v>
      </c>
      <c r="D181" s="378">
        <f>IF(constants!$O$3=1,Data!C181,-Data!C181)</f>
        <v>2.701575799401887</v>
      </c>
      <c r="E181" s="378">
        <f>IF(constants!$O$4=1,Data!D181,-Data!D181)</f>
        <v>1.5815504945939729</v>
      </c>
      <c r="F181" s="378">
        <f>IF(constants!$O$5=1,Data!E181,-Data!E181)</f>
        <v>0.34375</v>
      </c>
      <c r="G181" s="378">
        <f>IF(constants!$O$6=1,Data!F181,-Data!F181)</f>
        <v>-1.5625000000000002</v>
      </c>
      <c r="H181" s="394">
        <f>IF(constants!$O$7=1,Data!G181,-Data!G181)</f>
        <v>0</v>
      </c>
    </row>
    <row r="182" spans="1:8" s="93" customFormat="1">
      <c r="A182" s="519"/>
      <c r="B182" s="376">
        <f>Data!A182</f>
        <v>1.79</v>
      </c>
      <c r="C182" s="378">
        <f>IF(constants!$O$2=1,Data!B182,-Data!B182)</f>
        <v>-0.59276871980676304</v>
      </c>
      <c r="D182" s="378">
        <f>IF(constants!$O$3=1,Data!C182,-Data!C182)</f>
        <v>2.7170318610536022</v>
      </c>
      <c r="E182" s="378">
        <f>IF(constants!$O$4=1,Data!D182,-Data!D182)</f>
        <v>1.5096618357487923</v>
      </c>
      <c r="F182" s="378">
        <f>IF(constants!$O$5=1,Data!E182,-Data!E182)</f>
        <v>0.328125</v>
      </c>
      <c r="G182" s="378">
        <f>IF(constants!$O$6=1,Data!F182,-Data!F182)</f>
        <v>-1.5625000000000002</v>
      </c>
      <c r="H182" s="394">
        <f>IF(constants!$O$7=1,Data!G182,-Data!G182)</f>
        <v>0</v>
      </c>
    </row>
    <row r="183" spans="1:8" s="93" customFormat="1">
      <c r="A183" s="519"/>
      <c r="B183" s="376">
        <f>Data!A183</f>
        <v>1.8</v>
      </c>
      <c r="C183" s="378">
        <f>IF(constants!$O$2=1,Data!B183,-Data!B183)</f>
        <v>-0.56552411624875454</v>
      </c>
      <c r="D183" s="378">
        <f>IF(constants!$O$3=1,Data!C183,-Data!C183)</f>
        <v>2.7317690361168623</v>
      </c>
      <c r="E183" s="378">
        <f>IF(constants!$O$4=1,Data!D183,-Data!D183)</f>
        <v>1.4377731769036117</v>
      </c>
      <c r="F183" s="378">
        <f>IF(constants!$O$5=1,Data!E183,-Data!E183)</f>
        <v>0.3125</v>
      </c>
      <c r="G183" s="378">
        <f>IF(constants!$O$6=1,Data!F183,-Data!F183)</f>
        <v>-1.5625000000000002</v>
      </c>
      <c r="H183" s="394">
        <f>IF(constants!$O$7=1,Data!G183,-Data!G183)</f>
        <v>0</v>
      </c>
    </row>
    <row r="184" spans="1:8" s="93" customFormat="1">
      <c r="A184" s="519"/>
      <c r="B184" s="376">
        <f>Data!A184</f>
        <v>1.81</v>
      </c>
      <c r="C184" s="378">
        <f>IF(constants!$O$2=1,Data!B184,-Data!B184)</f>
        <v>-0.53813573537305448</v>
      </c>
      <c r="D184" s="378">
        <f>IF(constants!$O$3=1,Data!C184,-Data!C184)</f>
        <v>2.7457873245916726</v>
      </c>
      <c r="E184" s="378">
        <f>IF(constants!$O$4=1,Data!D184,-Data!D184)</f>
        <v>1.3658845180584311</v>
      </c>
      <c r="F184" s="378">
        <f>IF(constants!$O$5=1,Data!E184,-Data!E184)</f>
        <v>0.296875</v>
      </c>
      <c r="G184" s="378">
        <f>IF(constants!$O$6=1,Data!F184,-Data!F184)</f>
        <v>-1.5625000000000002</v>
      </c>
      <c r="H184" s="394">
        <f>IF(constants!$O$7=1,Data!G184,-Data!G184)</f>
        <v>0</v>
      </c>
    </row>
    <row r="185" spans="1:8" s="93" customFormat="1">
      <c r="A185" s="519"/>
      <c r="B185" s="376">
        <f>Data!A185</f>
        <v>1.8199999999999998</v>
      </c>
      <c r="C185" s="378">
        <f>IF(constants!$O$2=1,Data!B185,-Data!B185)</f>
        <v>-0.51061076604554767</v>
      </c>
      <c r="D185" s="378">
        <f>IF(constants!$O$3=1,Data!C185,-Data!C185)</f>
        <v>2.7590867264780314</v>
      </c>
      <c r="E185" s="378">
        <f>IF(constants!$O$4=1,Data!D185,-Data!D185)</f>
        <v>1.2939958592132523</v>
      </c>
      <c r="F185" s="378">
        <f>IF(constants!$O$5=1,Data!E185,-Data!E185)</f>
        <v>0.28125000000000039</v>
      </c>
      <c r="G185" s="378">
        <f>IF(constants!$O$6=1,Data!F185,-Data!F185)</f>
        <v>-1.5625000000000002</v>
      </c>
      <c r="H185" s="394">
        <f>IF(constants!$O$7=1,Data!G185,-Data!G185)</f>
        <v>0</v>
      </c>
    </row>
    <row r="186" spans="1:8" s="93" customFormat="1">
      <c r="A186" s="519"/>
      <c r="B186" s="376">
        <f>Data!A186</f>
        <v>1.83</v>
      </c>
      <c r="C186" s="378">
        <f>IF(constants!$O$2=1,Data!B186,-Data!B186)</f>
        <v>-0.48295639713212157</v>
      </c>
      <c r="D186" s="378">
        <f>IF(constants!$O$3=1,Data!C186,-Data!C186)</f>
        <v>2.7716672417759369</v>
      </c>
      <c r="E186" s="378">
        <f>IF(constants!$O$4=1,Data!D186,-Data!D186)</f>
        <v>1.22210720036807</v>
      </c>
      <c r="F186" s="378">
        <f>IF(constants!$O$5=1,Data!E186,-Data!E186)</f>
        <v>0.265625</v>
      </c>
      <c r="G186" s="378">
        <f>IF(constants!$O$6=1,Data!F186,-Data!F186)</f>
        <v>-1.5625000000000002</v>
      </c>
      <c r="H186" s="394">
        <f>IF(constants!$O$7=1,Data!G186,-Data!G186)</f>
        <v>0</v>
      </c>
    </row>
    <row r="187" spans="1:8" s="93" customFormat="1">
      <c r="A187" s="519"/>
      <c r="B187" s="376">
        <f>Data!A187</f>
        <v>1.8399999999999999</v>
      </c>
      <c r="C187" s="378">
        <f>IF(constants!$O$2=1,Data!B187,-Data!B187)</f>
        <v>-0.45517981749865655</v>
      </c>
      <c r="D187" s="378">
        <f>IF(constants!$O$3=1,Data!C187,-Data!C187)</f>
        <v>2.7835288704853927</v>
      </c>
      <c r="E187" s="378">
        <f>IF(constants!$O$4=1,Data!D187,-Data!D187)</f>
        <v>1.1502185415228912</v>
      </c>
      <c r="F187" s="378">
        <f>IF(constants!$O$5=1,Data!E187,-Data!E187)</f>
        <v>0.25000000000000039</v>
      </c>
      <c r="G187" s="378">
        <f>IF(constants!$O$6=1,Data!F187,-Data!F187)</f>
        <v>-1.5625000000000002</v>
      </c>
      <c r="H187" s="394">
        <f>IF(constants!$O$7=1,Data!G187,-Data!G187)</f>
        <v>0</v>
      </c>
    </row>
    <row r="188" spans="1:8" s="93" customFormat="1">
      <c r="A188" s="519"/>
      <c r="B188" s="376">
        <f>Data!A188</f>
        <v>1.85</v>
      </c>
      <c r="C188" s="378">
        <f>IF(constants!$O$2=1,Data!B188,-Data!B188)</f>
        <v>-0.42728821601104272</v>
      </c>
      <c r="D188" s="378">
        <f>IF(constants!$O$3=1,Data!C188,-Data!C188)</f>
        <v>2.7946716126063933</v>
      </c>
      <c r="E188" s="378">
        <f>IF(constants!$O$4=1,Data!D188,-Data!D188)</f>
        <v>1.078329882677707</v>
      </c>
      <c r="F188" s="378">
        <f>IF(constants!$O$5=1,Data!E188,-Data!E188)</f>
        <v>0.23437499999999961</v>
      </c>
      <c r="G188" s="378">
        <f>IF(constants!$O$6=1,Data!F188,-Data!F188)</f>
        <v>-1.5625000000000002</v>
      </c>
      <c r="H188" s="394">
        <f>IF(constants!$O$7=1,Data!G188,-Data!G188)</f>
        <v>0</v>
      </c>
    </row>
    <row r="189" spans="1:8" s="93" customFormat="1">
      <c r="A189" s="519"/>
      <c r="B189" s="376">
        <f>Data!A189</f>
        <v>1.8599999999999999</v>
      </c>
      <c r="C189" s="378">
        <f>IF(constants!$O$2=1,Data!B189,-Data!B189)</f>
        <v>-0.39928878153515956</v>
      </c>
      <c r="D189" s="378">
        <f>IF(constants!$O$3=1,Data!C189,-Data!C189)</f>
        <v>2.8050954681389459</v>
      </c>
      <c r="E189" s="378">
        <f>IF(constants!$O$4=1,Data!D189,-Data!D189)</f>
        <v>1.0064412238325282</v>
      </c>
      <c r="F189" s="378">
        <f>IF(constants!$O$5=1,Data!E189,-Data!E189)</f>
        <v>0.21875</v>
      </c>
      <c r="G189" s="378">
        <f>IF(constants!$O$6=1,Data!F189,-Data!F189)</f>
        <v>-1.5625000000000002</v>
      </c>
      <c r="H189" s="394">
        <f>IF(constants!$O$7=1,Data!G189,-Data!G189)</f>
        <v>0</v>
      </c>
    </row>
    <row r="190" spans="1:8" s="93" customFormat="1">
      <c r="A190" s="519"/>
      <c r="B190" s="376">
        <f>Data!A190</f>
        <v>1.87</v>
      </c>
      <c r="C190" s="378">
        <f>IF(constants!$O$2=1,Data!B190,-Data!B190)</f>
        <v>-0.37118870293688833</v>
      </c>
      <c r="D190" s="378">
        <f>IF(constants!$O$3=1,Data!C190,-Data!C190)</f>
        <v>2.8148004370830435</v>
      </c>
      <c r="E190" s="378">
        <f>IF(constants!$O$4=1,Data!D190,-Data!D190)</f>
        <v>0.93455256498734762</v>
      </c>
      <c r="F190" s="378">
        <f>IF(constants!$O$5=1,Data!E190,-Data!E190)</f>
        <v>0.203125</v>
      </c>
      <c r="G190" s="378">
        <f>IF(constants!$O$6=1,Data!F190,-Data!F190)</f>
        <v>-1.5625000000000002</v>
      </c>
      <c r="H190" s="394">
        <f>IF(constants!$O$7=1,Data!G190,-Data!G190)</f>
        <v>0</v>
      </c>
    </row>
    <row r="191" spans="1:8" s="93" customFormat="1">
      <c r="A191" s="519"/>
      <c r="B191" s="376">
        <f>Data!A191</f>
        <v>1.88</v>
      </c>
      <c r="C191" s="378">
        <f>IF(constants!$O$2=1,Data!B191,-Data!B191)</f>
        <v>-0.34299516908212713</v>
      </c>
      <c r="D191" s="378">
        <f>IF(constants!$O$3=1,Data!C191,-Data!C191)</f>
        <v>2.8237865194386949</v>
      </c>
      <c r="E191" s="378">
        <f>IF(constants!$O$4=1,Data!D191,-Data!D191)</f>
        <v>0.86266390614216704</v>
      </c>
      <c r="F191" s="378">
        <f>IF(constants!$O$5=1,Data!E191,-Data!E191)</f>
        <v>0.1875</v>
      </c>
      <c r="G191" s="378">
        <f>IF(constants!$O$6=1,Data!F191,-Data!F191)</f>
        <v>-1.5625000000000002</v>
      </c>
      <c r="H191" s="394">
        <f>IF(constants!$O$7=1,Data!G191,-Data!G191)</f>
        <v>0</v>
      </c>
    </row>
    <row r="192" spans="1:8" s="93" customFormat="1">
      <c r="A192" s="519"/>
      <c r="B192" s="376">
        <f>Data!A192</f>
        <v>1.8900000000000001</v>
      </c>
      <c r="C192" s="378">
        <f>IF(constants!$O$2=1,Data!B192,-Data!B192)</f>
        <v>-0.31471536883674212</v>
      </c>
      <c r="D192" s="378">
        <f>IF(constants!$O$3=1,Data!C192,-Data!C192)</f>
        <v>2.8320537152058893</v>
      </c>
      <c r="E192" s="378">
        <f>IF(constants!$O$4=1,Data!D192,-Data!D192)</f>
        <v>0.79077524729698645</v>
      </c>
      <c r="F192" s="378">
        <f>IF(constants!$O$5=1,Data!E192,-Data!E192)</f>
        <v>0.171875</v>
      </c>
      <c r="G192" s="378">
        <f>IF(constants!$O$6=1,Data!F192,-Data!F192)</f>
        <v>-1.5625000000000002</v>
      </c>
      <c r="H192" s="394">
        <f>IF(constants!$O$7=1,Data!G192,-Data!G192)</f>
        <v>0</v>
      </c>
    </row>
    <row r="193" spans="1:8" s="93" customFormat="1">
      <c r="A193" s="519"/>
      <c r="B193" s="376">
        <f>Data!A193</f>
        <v>1.9</v>
      </c>
      <c r="C193" s="378">
        <f>IF(constants!$O$2=1,Data!B193,-Data!B193)</f>
        <v>-0.28635649106663585</v>
      </c>
      <c r="D193" s="378">
        <f>IF(constants!$O$3=1,Data!C193,-Data!C193)</f>
        <v>2.839602024384634</v>
      </c>
      <c r="E193" s="378">
        <f>IF(constants!$O$4=1,Data!D193,-Data!D193)</f>
        <v>0.71888658845180764</v>
      </c>
      <c r="F193" s="378">
        <f>IF(constants!$O$5=1,Data!E193,-Data!E193)</f>
        <v>0.15625000000000039</v>
      </c>
      <c r="G193" s="378">
        <f>IF(constants!$O$6=1,Data!F193,-Data!F193)</f>
        <v>-1.5625000000000002</v>
      </c>
      <c r="H193" s="394">
        <f>IF(constants!$O$7=1,Data!G193,-Data!G193)</f>
        <v>0</v>
      </c>
    </row>
    <row r="194" spans="1:8" s="93" customFormat="1">
      <c r="A194" s="519"/>
      <c r="B194" s="376">
        <f>Data!A194</f>
        <v>1.9100000000000001</v>
      </c>
      <c r="C194" s="378">
        <f>IF(constants!$O$2=1,Data!B194,-Data!B194)</f>
        <v>-0.25792572463767982</v>
      </c>
      <c r="D194" s="378">
        <f>IF(constants!$O$3=1,Data!C194,-Data!C194)</f>
        <v>2.8464314469749272</v>
      </c>
      <c r="E194" s="378">
        <f>IF(constants!$O$4=1,Data!D194,-Data!D194)</f>
        <v>0.6469979296066235</v>
      </c>
      <c r="F194" s="378">
        <f>IF(constants!$O$5=1,Data!E194,-Data!E194)</f>
        <v>0.14062499999999961</v>
      </c>
      <c r="G194" s="378">
        <f>IF(constants!$O$6=1,Data!F194,-Data!F194)</f>
        <v>-1.5625000000000002</v>
      </c>
      <c r="H194" s="394">
        <f>IF(constants!$O$7=1,Data!G194,-Data!G194)</f>
        <v>0</v>
      </c>
    </row>
    <row r="195" spans="1:8" s="93" customFormat="1">
      <c r="A195" s="519"/>
      <c r="B195" s="376">
        <f>Data!A195</f>
        <v>1.92</v>
      </c>
      <c r="C195" s="378">
        <f>IF(constants!$O$2=1,Data!B195,-Data!B195)</f>
        <v>-0.22943025841576414</v>
      </c>
      <c r="D195" s="378">
        <f>IF(constants!$O$3=1,Data!C195,-Data!C195)</f>
        <v>2.8525419829767635</v>
      </c>
      <c r="E195" s="378">
        <f>IF(constants!$O$4=1,Data!D195,-Data!D195)</f>
        <v>0.57510927076144469</v>
      </c>
      <c r="F195" s="378">
        <f>IF(constants!$O$5=1,Data!E195,-Data!E195)</f>
        <v>0.125</v>
      </c>
      <c r="G195" s="378">
        <f>IF(constants!$O$6=1,Data!F195,-Data!F195)</f>
        <v>-1.5625000000000002</v>
      </c>
      <c r="H195" s="394">
        <f>IF(constants!$O$7=1,Data!G195,-Data!G195)</f>
        <v>0</v>
      </c>
    </row>
    <row r="196" spans="1:8" s="93" customFormat="1">
      <c r="A196" s="519"/>
      <c r="B196" s="376">
        <f>Data!A196</f>
        <v>1.9300000000000002</v>
      </c>
      <c r="C196" s="378">
        <f>IF(constants!$O$2=1,Data!B196,-Data!B196)</f>
        <v>-0.20087728126677185</v>
      </c>
      <c r="D196" s="378">
        <f>IF(constants!$O$3=1,Data!C196,-Data!C196)</f>
        <v>2.8579336323901536</v>
      </c>
      <c r="E196" s="378">
        <f>IF(constants!$O$4=1,Data!D196,-Data!D196)</f>
        <v>0.50322061191626233</v>
      </c>
      <c r="F196" s="378">
        <f>IF(constants!$O$5=1,Data!E196,-Data!E196)</f>
        <v>0.10937499999999961</v>
      </c>
      <c r="G196" s="378">
        <f>IF(constants!$O$6=1,Data!F196,-Data!F196)</f>
        <v>-1.5625000000000002</v>
      </c>
      <c r="H196" s="394">
        <f>IF(constants!$O$7=1,Data!G196,-Data!G196)</f>
        <v>0</v>
      </c>
    </row>
    <row r="197" spans="1:8" s="93" customFormat="1">
      <c r="A197" s="519"/>
      <c r="B197" s="376">
        <f>Data!A197</f>
        <v>1.94</v>
      </c>
      <c r="C197" s="378">
        <f>IF(constants!$O$2=1,Data!B197,-Data!B197)</f>
        <v>-0.17227398205659306</v>
      </c>
      <c r="D197" s="378">
        <f>IF(constants!$O$3=1,Data!C197,-Data!C197)</f>
        <v>2.8626063952150904</v>
      </c>
      <c r="E197" s="378">
        <f>IF(constants!$O$4=1,Data!D197,-Data!D197)</f>
        <v>0.43133195307108352</v>
      </c>
      <c r="F197" s="378">
        <f>IF(constants!$O$5=1,Data!E197,-Data!E197)</f>
        <v>9.375E-2</v>
      </c>
      <c r="G197" s="378">
        <f>IF(constants!$O$6=1,Data!F197,-Data!F197)</f>
        <v>-1.5625000000000002</v>
      </c>
      <c r="H197" s="394">
        <f>IF(constants!$O$7=1,Data!G197,-Data!G197)</f>
        <v>0</v>
      </c>
    </row>
    <row r="198" spans="1:8" s="93" customFormat="1">
      <c r="A198" s="519"/>
      <c r="B198" s="376">
        <f>Data!A198</f>
        <v>1.95</v>
      </c>
      <c r="C198" s="378">
        <f>IF(constants!$O$2=1,Data!B198,-Data!B198)</f>
        <v>-0.14362754965110192</v>
      </c>
      <c r="D198" s="378">
        <f>IF(constants!$O$3=1,Data!C198,-Data!C198)</f>
        <v>2.8665602714515792</v>
      </c>
      <c r="E198" s="378">
        <f>IF(constants!$O$4=1,Data!D198,-Data!D198)</f>
        <v>0.35944329422590471</v>
      </c>
      <c r="F198" s="378">
        <f>IF(constants!$O$5=1,Data!E198,-Data!E198)</f>
        <v>7.8125000000000389E-2</v>
      </c>
      <c r="G198" s="378">
        <f>IF(constants!$O$6=1,Data!F198,-Data!F198)</f>
        <v>-1.5625000000000002</v>
      </c>
      <c r="H198" s="394">
        <f>IF(constants!$O$7=1,Data!G198,-Data!G198)</f>
        <v>0</v>
      </c>
    </row>
    <row r="199" spans="1:8" s="93" customFormat="1">
      <c r="A199" s="519"/>
      <c r="B199" s="376">
        <f>Data!A199</f>
        <v>1.96</v>
      </c>
      <c r="C199" s="378">
        <f>IF(constants!$O$2=1,Data!B199,-Data!B199)</f>
        <v>-0.11494517291618678</v>
      </c>
      <c r="D199" s="378">
        <f>IF(constants!$O$3=1,Data!C199,-Data!C199)</f>
        <v>2.8697952610996076</v>
      </c>
      <c r="E199" s="378">
        <f>IF(constants!$O$4=1,Data!D199,-Data!D199)</f>
        <v>0.28755463538072235</v>
      </c>
      <c r="F199" s="378">
        <f>IF(constants!$O$5=1,Data!E199,-Data!E199)</f>
        <v>6.25E-2</v>
      </c>
      <c r="G199" s="378">
        <f>IF(constants!$O$6=1,Data!F199,-Data!F199)</f>
        <v>-1.5625000000000002</v>
      </c>
      <c r="H199" s="394">
        <f>IF(constants!$O$7=1,Data!G199,-Data!G199)</f>
        <v>0</v>
      </c>
    </row>
    <row r="200" spans="1:8" s="93" customFormat="1">
      <c r="A200" s="519"/>
      <c r="B200" s="376">
        <f>Data!A200</f>
        <v>1.97</v>
      </c>
      <c r="C200" s="378">
        <f>IF(constants!$O$2=1,Data!B200,-Data!B200)</f>
        <v>-8.6234040717735994E-2</v>
      </c>
      <c r="D200" s="378">
        <f>IF(constants!$O$3=1,Data!C200,-Data!C200)</f>
        <v>2.8723113641591933</v>
      </c>
      <c r="E200" s="378">
        <f>IF(constants!$O$4=1,Data!D200,-Data!D200)</f>
        <v>0.21566597653554176</v>
      </c>
      <c r="F200" s="378">
        <f>IF(constants!$O$5=1,Data!E200,-Data!E200)</f>
        <v>4.6875E-2</v>
      </c>
      <c r="G200" s="378">
        <f>IF(constants!$O$6=1,Data!F200,-Data!F200)</f>
        <v>-1.5625000000000002</v>
      </c>
      <c r="H200" s="394">
        <f>IF(constants!$O$7=1,Data!G200,-Data!G200)</f>
        <v>0</v>
      </c>
    </row>
    <row r="201" spans="1:8" s="93" customFormat="1">
      <c r="A201" s="519"/>
      <c r="B201" s="376">
        <f>Data!A201</f>
        <v>1.98</v>
      </c>
      <c r="C201" s="378">
        <f>IF(constants!$O$2=1,Data!B201,-Data!B201)</f>
        <v>-5.7501341921632587E-2</v>
      </c>
      <c r="D201" s="378">
        <f>IF(constants!$O$3=1,Data!C201,-Data!C201)</f>
        <v>2.8741085806303204</v>
      </c>
      <c r="E201" s="378">
        <f>IF(constants!$O$4=1,Data!D201,-Data!D201)</f>
        <v>0.14377731769036295</v>
      </c>
      <c r="F201" s="378">
        <f>IF(constants!$O$5=1,Data!E201,-Data!E201)</f>
        <v>3.1250000000000389E-2</v>
      </c>
      <c r="G201" s="378">
        <f>IF(constants!$O$6=1,Data!F201,-Data!F201)</f>
        <v>-1.5625000000000002</v>
      </c>
      <c r="H201" s="394">
        <f>IF(constants!$O$7=1,Data!G201,-Data!G201)</f>
        <v>0</v>
      </c>
    </row>
    <row r="202" spans="1:8" s="93" customFormat="1">
      <c r="A202" s="519"/>
      <c r="B202" s="376">
        <f>Data!A202</f>
        <v>1.99</v>
      </c>
      <c r="C202" s="378">
        <f>IF(constants!$O$2=1,Data!B202,-Data!B202)</f>
        <v>-2.8754265393757805E-2</v>
      </c>
      <c r="D202" s="378">
        <f>IF(constants!$O$3=1,Data!C202,-Data!C202)</f>
        <v>2.8751869105129995</v>
      </c>
      <c r="E202" s="378">
        <f>IF(constants!$O$4=1,Data!D202,-Data!D202)</f>
        <v>7.1888658845180586E-2</v>
      </c>
      <c r="F202" s="378">
        <f>IF(constants!$O$5=1,Data!E202,-Data!E202)</f>
        <v>1.5625E-2</v>
      </c>
      <c r="G202" s="378">
        <f>IF(constants!$O$6=1,Data!F202,-Data!F202)</f>
        <v>-1.5625000000000002</v>
      </c>
      <c r="H202" s="394">
        <f>IF(constants!$O$7=1,Data!G202,-Data!G202)</f>
        <v>0</v>
      </c>
    </row>
    <row r="203" spans="1:8" s="93" customFormat="1" ht="15.75" thickBot="1">
      <c r="A203" s="520"/>
      <c r="B203" s="377">
        <f>Data!A203</f>
        <v>2</v>
      </c>
      <c r="C203" s="388">
        <f>IF(constants!$O$2=1,Data!B203,-Data!B203)</f>
        <v>0</v>
      </c>
      <c r="D203" s="388">
        <f>IF(constants!$O$3=1,Data!C203,-Data!C203)</f>
        <v>2.8755463538072217</v>
      </c>
      <c r="E203" s="388">
        <f>IF(constants!$O$4=1,Data!D203,-Data!D203)</f>
        <v>0</v>
      </c>
      <c r="F203" s="388">
        <f>IF(constants!$O$5=1,Data!E203,-Data!E203)</f>
        <v>0</v>
      </c>
      <c r="G203" s="388">
        <f>IF(constants!$O$6=1,Data!F203,-Data!F203)</f>
        <v>-1.5625000000000002</v>
      </c>
      <c r="H203" s="395">
        <f>IF(constants!$O$7=1,Data!G203,-Data!G203)</f>
        <v>1.5625000000000002</v>
      </c>
    </row>
    <row r="204" spans="1:8" s="93" customFormat="1">
      <c r="A204" s="518" t="str">
        <f>Solver!B2</f>
        <v>Polynomial</v>
      </c>
      <c r="B204" s="379">
        <f>Data!A204</f>
        <v>2.02</v>
      </c>
      <c r="C204" s="383">
        <f>IF(constants!$O$2=1,Data!B204,-Data!B204)</f>
        <v>5.7510927076144469E-2</v>
      </c>
      <c r="D204" s="383">
        <f>IF(constants!$O$3=1,Data!C204,-Data!C204)</f>
        <v>2.8755463538072239</v>
      </c>
      <c r="E204" s="383">
        <f>IF(constants!$O$4=1,Data!D204,-Data!D204)</f>
        <v>0</v>
      </c>
      <c r="F204" s="383">
        <f>IF(constants!$O$5=1,Data!E204,-Data!E204)</f>
        <v>0</v>
      </c>
      <c r="G204" s="383">
        <f>IF(constants!$O$6=1,Data!F204,-Data!F204)</f>
        <v>0</v>
      </c>
      <c r="H204" s="396">
        <f>IF(constants!$O$7=1,Data!G204,-Data!G204)</f>
        <v>0</v>
      </c>
    </row>
    <row r="205" spans="1:8" s="93" customFormat="1">
      <c r="A205" s="519"/>
      <c r="B205" s="380">
        <f>Data!A205</f>
        <v>2.04</v>
      </c>
      <c r="C205" s="382">
        <f>IF(constants!$O$2=1,Data!B205,-Data!B205)</f>
        <v>0.11502185415228894</v>
      </c>
      <c r="D205" s="382">
        <f>IF(constants!$O$3=1,Data!C205,-Data!C205)</f>
        <v>2.8755463538072239</v>
      </c>
      <c r="E205" s="382">
        <f>IF(constants!$O$4=1,Data!D205,-Data!D205)</f>
        <v>0</v>
      </c>
      <c r="F205" s="382">
        <f>IF(constants!$O$5=1,Data!E205,-Data!E205)</f>
        <v>0</v>
      </c>
      <c r="G205" s="382">
        <f>IF(constants!$O$6=1,Data!F205,-Data!F205)</f>
        <v>0</v>
      </c>
      <c r="H205" s="397">
        <f>IF(constants!$O$7=1,Data!G205,-Data!G205)</f>
        <v>0</v>
      </c>
    </row>
    <row r="206" spans="1:8" s="93" customFormat="1">
      <c r="A206" s="519"/>
      <c r="B206" s="380">
        <f>Data!A206</f>
        <v>2.06</v>
      </c>
      <c r="C206" s="382">
        <f>IF(constants!$O$2=1,Data!B206,-Data!B206)</f>
        <v>0.17253278122843341</v>
      </c>
      <c r="D206" s="382">
        <f>IF(constants!$O$3=1,Data!C206,-Data!C206)</f>
        <v>2.8755463538072239</v>
      </c>
      <c r="E206" s="382">
        <f>IF(constants!$O$4=1,Data!D206,-Data!D206)</f>
        <v>0</v>
      </c>
      <c r="F206" s="382">
        <f>IF(constants!$O$5=1,Data!E206,-Data!E206)</f>
        <v>0</v>
      </c>
      <c r="G206" s="382">
        <f>IF(constants!$O$6=1,Data!F206,-Data!F206)</f>
        <v>0</v>
      </c>
      <c r="H206" s="397">
        <f>IF(constants!$O$7=1,Data!G206,-Data!G206)</f>
        <v>0</v>
      </c>
    </row>
    <row r="207" spans="1:8" s="93" customFormat="1">
      <c r="A207" s="519"/>
      <c r="B207" s="380">
        <f>Data!A207</f>
        <v>2.08</v>
      </c>
      <c r="C207" s="382">
        <f>IF(constants!$O$2=1,Data!B207,-Data!B207)</f>
        <v>0.23004370830457788</v>
      </c>
      <c r="D207" s="382">
        <f>IF(constants!$O$3=1,Data!C207,-Data!C207)</f>
        <v>2.8755463538072239</v>
      </c>
      <c r="E207" s="382">
        <f>IF(constants!$O$4=1,Data!D207,-Data!D207)</f>
        <v>0</v>
      </c>
      <c r="F207" s="382">
        <f>IF(constants!$O$5=1,Data!E207,-Data!E207)</f>
        <v>0</v>
      </c>
      <c r="G207" s="382">
        <f>IF(constants!$O$6=1,Data!F207,-Data!F207)</f>
        <v>0</v>
      </c>
      <c r="H207" s="397">
        <f>IF(constants!$O$7=1,Data!G207,-Data!G207)</f>
        <v>0</v>
      </c>
    </row>
    <row r="208" spans="1:8" s="93" customFormat="1">
      <c r="A208" s="519"/>
      <c r="B208" s="380">
        <f>Data!A208</f>
        <v>2.1</v>
      </c>
      <c r="C208" s="382">
        <f>IF(constants!$O$2=1,Data!B208,-Data!B208)</f>
        <v>0.28755463538072235</v>
      </c>
      <c r="D208" s="382">
        <f>IF(constants!$O$3=1,Data!C208,-Data!C208)</f>
        <v>2.8755463538072239</v>
      </c>
      <c r="E208" s="382">
        <f>IF(constants!$O$4=1,Data!D208,-Data!D208)</f>
        <v>0</v>
      </c>
      <c r="F208" s="382">
        <f>IF(constants!$O$5=1,Data!E208,-Data!E208)</f>
        <v>0</v>
      </c>
      <c r="G208" s="382">
        <f>IF(constants!$O$6=1,Data!F208,-Data!F208)</f>
        <v>0</v>
      </c>
      <c r="H208" s="397">
        <f>IF(constants!$O$7=1,Data!G208,-Data!G208)</f>
        <v>0</v>
      </c>
    </row>
    <row r="209" spans="1:8" s="93" customFormat="1">
      <c r="A209" s="519"/>
      <c r="B209" s="380">
        <f>Data!A209</f>
        <v>2.12</v>
      </c>
      <c r="C209" s="382">
        <f>IF(constants!$O$2=1,Data!B209,-Data!B209)</f>
        <v>0.34506556245686681</v>
      </c>
      <c r="D209" s="382">
        <f>IF(constants!$O$3=1,Data!C209,-Data!C209)</f>
        <v>2.8755463538072239</v>
      </c>
      <c r="E209" s="382">
        <f>IF(constants!$O$4=1,Data!D209,-Data!D209)</f>
        <v>0</v>
      </c>
      <c r="F209" s="382">
        <f>IF(constants!$O$5=1,Data!E209,-Data!E209)</f>
        <v>0</v>
      </c>
      <c r="G209" s="382">
        <f>IF(constants!$O$6=1,Data!F209,-Data!F209)</f>
        <v>0</v>
      </c>
      <c r="H209" s="397">
        <f>IF(constants!$O$7=1,Data!G209,-Data!G209)</f>
        <v>0</v>
      </c>
    </row>
    <row r="210" spans="1:8" s="93" customFormat="1">
      <c r="A210" s="519"/>
      <c r="B210" s="380">
        <f>Data!A210</f>
        <v>2.14</v>
      </c>
      <c r="C210" s="382">
        <f>IF(constants!$O$2=1,Data!B210,-Data!B210)</f>
        <v>0.40257648953301128</v>
      </c>
      <c r="D210" s="382">
        <f>IF(constants!$O$3=1,Data!C210,-Data!C210)</f>
        <v>2.8755463538072239</v>
      </c>
      <c r="E210" s="382">
        <f>IF(constants!$O$4=1,Data!D210,-Data!D210)</f>
        <v>0</v>
      </c>
      <c r="F210" s="382">
        <f>IF(constants!$O$5=1,Data!E210,-Data!E210)</f>
        <v>0</v>
      </c>
      <c r="G210" s="382">
        <f>IF(constants!$O$6=1,Data!F210,-Data!F210)</f>
        <v>0</v>
      </c>
      <c r="H210" s="397">
        <f>IF(constants!$O$7=1,Data!G210,-Data!G210)</f>
        <v>0</v>
      </c>
    </row>
    <row r="211" spans="1:8" s="93" customFormat="1">
      <c r="A211" s="519"/>
      <c r="B211" s="380">
        <f>Data!A211</f>
        <v>2.16</v>
      </c>
      <c r="C211" s="382">
        <f>IF(constants!$O$2=1,Data!B211,-Data!B211)</f>
        <v>0.46008741660915664</v>
      </c>
      <c r="D211" s="382">
        <f>IF(constants!$O$3=1,Data!C211,-Data!C211)</f>
        <v>2.8755463538072239</v>
      </c>
      <c r="E211" s="382">
        <f>IF(constants!$O$4=1,Data!D211,-Data!D211)</f>
        <v>0</v>
      </c>
      <c r="F211" s="382">
        <f>IF(constants!$O$5=1,Data!E211,-Data!E211)</f>
        <v>0</v>
      </c>
      <c r="G211" s="382">
        <f>IF(constants!$O$6=1,Data!F211,-Data!F211)</f>
        <v>0</v>
      </c>
      <c r="H211" s="397">
        <f>IF(constants!$O$7=1,Data!G211,-Data!G211)</f>
        <v>0</v>
      </c>
    </row>
    <row r="212" spans="1:8" s="93" customFormat="1">
      <c r="A212" s="519"/>
      <c r="B212" s="380">
        <f>Data!A212</f>
        <v>2.1800000000000002</v>
      </c>
      <c r="C212" s="382">
        <f>IF(constants!$O$2=1,Data!B212,-Data!B212)</f>
        <v>0.51759834368530111</v>
      </c>
      <c r="D212" s="382">
        <f>IF(constants!$O$3=1,Data!C212,-Data!C212)</f>
        <v>2.8755463538072239</v>
      </c>
      <c r="E212" s="382">
        <f>IF(constants!$O$4=1,Data!D212,-Data!D212)</f>
        <v>0</v>
      </c>
      <c r="F212" s="382">
        <f>IF(constants!$O$5=1,Data!E212,-Data!E212)</f>
        <v>0</v>
      </c>
      <c r="G212" s="382">
        <f>IF(constants!$O$6=1,Data!F212,-Data!F212)</f>
        <v>0</v>
      </c>
      <c r="H212" s="397">
        <f>IF(constants!$O$7=1,Data!G212,-Data!G212)</f>
        <v>0</v>
      </c>
    </row>
    <row r="213" spans="1:8" s="93" customFormat="1">
      <c r="A213" s="519"/>
      <c r="B213" s="380">
        <f>Data!A213</f>
        <v>2.2000000000000002</v>
      </c>
      <c r="C213" s="382">
        <f>IF(constants!$O$2=1,Data!B213,-Data!B213)</f>
        <v>0.57510927076144558</v>
      </c>
      <c r="D213" s="382">
        <f>IF(constants!$O$3=1,Data!C213,-Data!C213)</f>
        <v>2.8755463538072239</v>
      </c>
      <c r="E213" s="382">
        <f>IF(constants!$O$4=1,Data!D213,-Data!D213)</f>
        <v>0</v>
      </c>
      <c r="F213" s="382">
        <f>IF(constants!$O$5=1,Data!E213,-Data!E213)</f>
        <v>0</v>
      </c>
      <c r="G213" s="382">
        <f>IF(constants!$O$6=1,Data!F213,-Data!F213)</f>
        <v>0</v>
      </c>
      <c r="H213" s="397">
        <f>IF(constants!$O$7=1,Data!G213,-Data!G213)</f>
        <v>0</v>
      </c>
    </row>
    <row r="214" spans="1:8" s="93" customFormat="1">
      <c r="A214" s="519"/>
      <c r="B214" s="380">
        <f>Data!A214</f>
        <v>2.2200000000000002</v>
      </c>
      <c r="C214" s="382">
        <f>IF(constants!$O$2=1,Data!B214,-Data!B214)</f>
        <v>0.63262019783759005</v>
      </c>
      <c r="D214" s="382">
        <f>IF(constants!$O$3=1,Data!C214,-Data!C214)</f>
        <v>2.8755463538072239</v>
      </c>
      <c r="E214" s="382">
        <f>IF(constants!$O$4=1,Data!D214,-Data!D214)</f>
        <v>0</v>
      </c>
      <c r="F214" s="382">
        <f>IF(constants!$O$5=1,Data!E214,-Data!E214)</f>
        <v>0</v>
      </c>
      <c r="G214" s="382">
        <f>IF(constants!$O$6=1,Data!F214,-Data!F214)</f>
        <v>0</v>
      </c>
      <c r="H214" s="397">
        <f>IF(constants!$O$7=1,Data!G214,-Data!G214)</f>
        <v>0</v>
      </c>
    </row>
    <row r="215" spans="1:8" s="93" customFormat="1">
      <c r="A215" s="519"/>
      <c r="B215" s="380">
        <f>Data!A215</f>
        <v>2.2400000000000002</v>
      </c>
      <c r="C215" s="382">
        <f>IF(constants!$O$2=1,Data!B215,-Data!B215)</f>
        <v>0.69013112491373452</v>
      </c>
      <c r="D215" s="382">
        <f>IF(constants!$O$3=1,Data!C215,-Data!C215)</f>
        <v>2.8755463538072239</v>
      </c>
      <c r="E215" s="382">
        <f>IF(constants!$O$4=1,Data!D215,-Data!D215)</f>
        <v>0</v>
      </c>
      <c r="F215" s="382">
        <f>IF(constants!$O$5=1,Data!E215,-Data!E215)</f>
        <v>0</v>
      </c>
      <c r="G215" s="382">
        <f>IF(constants!$O$6=1,Data!F215,-Data!F215)</f>
        <v>0</v>
      </c>
      <c r="H215" s="397">
        <f>IF(constants!$O$7=1,Data!G215,-Data!G215)</f>
        <v>0</v>
      </c>
    </row>
    <row r="216" spans="1:8" s="93" customFormat="1">
      <c r="A216" s="519"/>
      <c r="B216" s="380">
        <f>Data!A216</f>
        <v>2.2599999999999998</v>
      </c>
      <c r="C216" s="382">
        <f>IF(constants!$O$2=1,Data!B216,-Data!B216)</f>
        <v>0.74764205198987721</v>
      </c>
      <c r="D216" s="382">
        <f>IF(constants!$O$3=1,Data!C216,-Data!C216)</f>
        <v>2.8755463538072239</v>
      </c>
      <c r="E216" s="382">
        <f>IF(constants!$O$4=1,Data!D216,-Data!D216)</f>
        <v>0</v>
      </c>
      <c r="F216" s="382">
        <f>IF(constants!$O$5=1,Data!E216,-Data!E216)</f>
        <v>0</v>
      </c>
      <c r="G216" s="382">
        <f>IF(constants!$O$6=1,Data!F216,-Data!F216)</f>
        <v>0</v>
      </c>
      <c r="H216" s="397">
        <f>IF(constants!$O$7=1,Data!G216,-Data!G216)</f>
        <v>0</v>
      </c>
    </row>
    <row r="217" spans="1:8" s="93" customFormat="1">
      <c r="A217" s="519"/>
      <c r="B217" s="380">
        <f>Data!A217</f>
        <v>2.2800000000000002</v>
      </c>
      <c r="C217" s="382">
        <f>IF(constants!$O$2=1,Data!B217,-Data!B217)</f>
        <v>0.80515297906602346</v>
      </c>
      <c r="D217" s="382">
        <f>IF(constants!$O$3=1,Data!C217,-Data!C217)</f>
        <v>2.8755463538072239</v>
      </c>
      <c r="E217" s="382">
        <f>IF(constants!$O$4=1,Data!D217,-Data!D217)</f>
        <v>0</v>
      </c>
      <c r="F217" s="382">
        <f>IF(constants!$O$5=1,Data!E217,-Data!E217)</f>
        <v>0</v>
      </c>
      <c r="G217" s="382">
        <f>IF(constants!$O$6=1,Data!F217,-Data!F217)</f>
        <v>0</v>
      </c>
      <c r="H217" s="397">
        <f>IF(constants!$O$7=1,Data!G217,-Data!G217)</f>
        <v>0</v>
      </c>
    </row>
    <row r="218" spans="1:8" s="93" customFormat="1">
      <c r="A218" s="519"/>
      <c r="B218" s="380">
        <f>Data!A218</f>
        <v>2.2999999999999998</v>
      </c>
      <c r="C218" s="382">
        <f>IF(constants!$O$2=1,Data!B218,-Data!B218)</f>
        <v>0.86266390614216704</v>
      </c>
      <c r="D218" s="382">
        <f>IF(constants!$O$3=1,Data!C218,-Data!C218)</f>
        <v>2.8755463538072239</v>
      </c>
      <c r="E218" s="382">
        <f>IF(constants!$O$4=1,Data!D218,-Data!D218)</f>
        <v>0</v>
      </c>
      <c r="F218" s="382">
        <f>IF(constants!$O$5=1,Data!E218,-Data!E218)</f>
        <v>0</v>
      </c>
      <c r="G218" s="382">
        <f>IF(constants!$O$6=1,Data!F218,-Data!F218)</f>
        <v>0</v>
      </c>
      <c r="H218" s="397">
        <f>IF(constants!$O$7=1,Data!G218,-Data!G218)</f>
        <v>0</v>
      </c>
    </row>
    <row r="219" spans="1:8" s="93" customFormat="1">
      <c r="A219" s="519"/>
      <c r="B219" s="380">
        <f>Data!A219</f>
        <v>2.3199999999999998</v>
      </c>
      <c r="C219" s="382">
        <f>IF(constants!$O$2=1,Data!B219,-Data!B219)</f>
        <v>0.92017483321831151</v>
      </c>
      <c r="D219" s="382">
        <f>IF(constants!$O$3=1,Data!C219,-Data!C219)</f>
        <v>2.8755463538072239</v>
      </c>
      <c r="E219" s="382">
        <f>IF(constants!$O$4=1,Data!D219,-Data!D219)</f>
        <v>0</v>
      </c>
      <c r="F219" s="382">
        <f>IF(constants!$O$5=1,Data!E219,-Data!E219)</f>
        <v>0</v>
      </c>
      <c r="G219" s="382">
        <f>IF(constants!$O$6=1,Data!F219,-Data!F219)</f>
        <v>0</v>
      </c>
      <c r="H219" s="397">
        <f>IF(constants!$O$7=1,Data!G219,-Data!G219)</f>
        <v>0</v>
      </c>
    </row>
    <row r="220" spans="1:8" s="93" customFormat="1">
      <c r="A220" s="519"/>
      <c r="B220" s="380">
        <f>Data!A220</f>
        <v>2.34</v>
      </c>
      <c r="C220" s="382">
        <f>IF(constants!$O$2=1,Data!B220,-Data!B220)</f>
        <v>0.97768576029445597</v>
      </c>
      <c r="D220" s="382">
        <f>IF(constants!$O$3=1,Data!C220,-Data!C220)</f>
        <v>2.8755463538072239</v>
      </c>
      <c r="E220" s="382">
        <f>IF(constants!$O$4=1,Data!D220,-Data!D220)</f>
        <v>0</v>
      </c>
      <c r="F220" s="382">
        <f>IF(constants!$O$5=1,Data!E220,-Data!E220)</f>
        <v>0</v>
      </c>
      <c r="G220" s="382">
        <f>IF(constants!$O$6=1,Data!F220,-Data!F220)</f>
        <v>0</v>
      </c>
      <c r="H220" s="397">
        <f>IF(constants!$O$7=1,Data!G220,-Data!G220)</f>
        <v>0</v>
      </c>
    </row>
    <row r="221" spans="1:8" s="93" customFormat="1">
      <c r="A221" s="519"/>
      <c r="B221" s="380">
        <f>Data!A221</f>
        <v>2.36</v>
      </c>
      <c r="C221" s="382">
        <f>IF(constants!$O$2=1,Data!B221,-Data!B221)</f>
        <v>1.0351966873706004</v>
      </c>
      <c r="D221" s="382">
        <f>IF(constants!$O$3=1,Data!C221,-Data!C221)</f>
        <v>2.8755463538072239</v>
      </c>
      <c r="E221" s="382">
        <f>IF(constants!$O$4=1,Data!D221,-Data!D221)</f>
        <v>0</v>
      </c>
      <c r="F221" s="382">
        <f>IF(constants!$O$5=1,Data!E221,-Data!E221)</f>
        <v>0</v>
      </c>
      <c r="G221" s="382">
        <f>IF(constants!$O$6=1,Data!F221,-Data!F221)</f>
        <v>0</v>
      </c>
      <c r="H221" s="397">
        <f>IF(constants!$O$7=1,Data!G221,-Data!G221)</f>
        <v>0</v>
      </c>
    </row>
    <row r="222" spans="1:8" s="93" customFormat="1">
      <c r="A222" s="519"/>
      <c r="B222" s="380">
        <f>Data!A222</f>
        <v>2.38</v>
      </c>
      <c r="C222" s="382">
        <f>IF(constants!$O$2=1,Data!B222,-Data!B222)</f>
        <v>1.0927076144467449</v>
      </c>
      <c r="D222" s="382">
        <f>IF(constants!$O$3=1,Data!C222,-Data!C222)</f>
        <v>2.8755463538072239</v>
      </c>
      <c r="E222" s="382">
        <f>IF(constants!$O$4=1,Data!D222,-Data!D222)</f>
        <v>0</v>
      </c>
      <c r="F222" s="382">
        <f>IF(constants!$O$5=1,Data!E222,-Data!E222)</f>
        <v>0</v>
      </c>
      <c r="G222" s="382">
        <f>IF(constants!$O$6=1,Data!F222,-Data!F222)</f>
        <v>0</v>
      </c>
      <c r="H222" s="397">
        <f>IF(constants!$O$7=1,Data!G222,-Data!G222)</f>
        <v>0</v>
      </c>
    </row>
    <row r="223" spans="1:8" s="93" customFormat="1">
      <c r="A223" s="519"/>
      <c r="B223" s="380">
        <f>Data!A223</f>
        <v>2.4</v>
      </c>
      <c r="C223" s="382">
        <f>IF(constants!$O$2=1,Data!B223,-Data!B223)</f>
        <v>1.1502185415228894</v>
      </c>
      <c r="D223" s="382">
        <f>IF(constants!$O$3=1,Data!C223,-Data!C223)</f>
        <v>2.8755463538072239</v>
      </c>
      <c r="E223" s="382">
        <f>IF(constants!$O$4=1,Data!D223,-Data!D223)</f>
        <v>0</v>
      </c>
      <c r="F223" s="382">
        <f>IF(constants!$O$5=1,Data!E223,-Data!E223)</f>
        <v>0</v>
      </c>
      <c r="G223" s="382">
        <f>IF(constants!$O$6=1,Data!F223,-Data!F223)</f>
        <v>0</v>
      </c>
      <c r="H223" s="397">
        <f>IF(constants!$O$7=1,Data!G223,-Data!G223)</f>
        <v>0</v>
      </c>
    </row>
    <row r="224" spans="1:8" s="93" customFormat="1">
      <c r="A224" s="519"/>
      <c r="B224" s="380">
        <f>Data!A224</f>
        <v>2.42</v>
      </c>
      <c r="C224" s="382">
        <f>IF(constants!$O$2=1,Data!B224,-Data!B224)</f>
        <v>1.2077294685990339</v>
      </c>
      <c r="D224" s="382">
        <f>IF(constants!$O$3=1,Data!C224,-Data!C224)</f>
        <v>2.8755463538072239</v>
      </c>
      <c r="E224" s="382">
        <f>IF(constants!$O$4=1,Data!D224,-Data!D224)</f>
        <v>0</v>
      </c>
      <c r="F224" s="382">
        <f>IF(constants!$O$5=1,Data!E224,-Data!E224)</f>
        <v>0</v>
      </c>
      <c r="G224" s="382">
        <f>IF(constants!$O$6=1,Data!F224,-Data!F224)</f>
        <v>0</v>
      </c>
      <c r="H224" s="397">
        <f>IF(constants!$O$7=1,Data!G224,-Data!G224)</f>
        <v>0</v>
      </c>
    </row>
    <row r="225" spans="1:8" s="93" customFormat="1">
      <c r="A225" s="519"/>
      <c r="B225" s="380">
        <f>Data!A225</f>
        <v>2.44</v>
      </c>
      <c r="C225" s="382">
        <f>IF(constants!$O$2=1,Data!B225,-Data!B225)</f>
        <v>1.2652403956751783</v>
      </c>
      <c r="D225" s="382">
        <f>IF(constants!$O$3=1,Data!C225,-Data!C225)</f>
        <v>2.8755463538072239</v>
      </c>
      <c r="E225" s="382">
        <f>IF(constants!$O$4=1,Data!D225,-Data!D225)</f>
        <v>0</v>
      </c>
      <c r="F225" s="382">
        <f>IF(constants!$O$5=1,Data!E225,-Data!E225)</f>
        <v>0</v>
      </c>
      <c r="G225" s="382">
        <f>IF(constants!$O$6=1,Data!F225,-Data!F225)</f>
        <v>0</v>
      </c>
      <c r="H225" s="397">
        <f>IF(constants!$O$7=1,Data!G225,-Data!G225)</f>
        <v>0</v>
      </c>
    </row>
    <row r="226" spans="1:8" s="93" customFormat="1">
      <c r="A226" s="519"/>
      <c r="B226" s="380">
        <f>Data!A226</f>
        <v>2.46</v>
      </c>
      <c r="C226" s="382">
        <f>IF(constants!$O$2=1,Data!B226,-Data!B226)</f>
        <v>1.3227513227513228</v>
      </c>
      <c r="D226" s="382">
        <f>IF(constants!$O$3=1,Data!C226,-Data!C226)</f>
        <v>2.8755463538072239</v>
      </c>
      <c r="E226" s="382">
        <f>IF(constants!$O$4=1,Data!D226,-Data!D226)</f>
        <v>0</v>
      </c>
      <c r="F226" s="382">
        <f>IF(constants!$O$5=1,Data!E226,-Data!E226)</f>
        <v>0</v>
      </c>
      <c r="G226" s="382">
        <f>IF(constants!$O$6=1,Data!F226,-Data!F226)</f>
        <v>0</v>
      </c>
      <c r="H226" s="397">
        <f>IF(constants!$O$7=1,Data!G226,-Data!G226)</f>
        <v>0</v>
      </c>
    </row>
    <row r="227" spans="1:8" s="93" customFormat="1">
      <c r="A227" s="519"/>
      <c r="B227" s="380">
        <f>Data!A227</f>
        <v>2.48</v>
      </c>
      <c r="C227" s="382">
        <f>IF(constants!$O$2=1,Data!B227,-Data!B227)</f>
        <v>1.3802622498274673</v>
      </c>
      <c r="D227" s="382">
        <f>IF(constants!$O$3=1,Data!C227,-Data!C227)</f>
        <v>2.8755463538072239</v>
      </c>
      <c r="E227" s="382">
        <f>IF(constants!$O$4=1,Data!D227,-Data!D227)</f>
        <v>0</v>
      </c>
      <c r="F227" s="382">
        <f>IF(constants!$O$5=1,Data!E227,-Data!E227)</f>
        <v>0</v>
      </c>
      <c r="G227" s="382">
        <f>IF(constants!$O$6=1,Data!F227,-Data!F227)</f>
        <v>0</v>
      </c>
      <c r="H227" s="397">
        <f>IF(constants!$O$7=1,Data!G227,-Data!G227)</f>
        <v>0</v>
      </c>
    </row>
    <row r="228" spans="1:8" s="93" customFormat="1">
      <c r="A228" s="519"/>
      <c r="B228" s="380">
        <f>Data!A228</f>
        <v>2.5</v>
      </c>
      <c r="C228" s="382">
        <f>IF(constants!$O$2=1,Data!B228,-Data!B228)</f>
        <v>1.4377731769036117</v>
      </c>
      <c r="D228" s="382">
        <f>IF(constants!$O$3=1,Data!C228,-Data!C228)</f>
        <v>2.8755463538072239</v>
      </c>
      <c r="E228" s="382">
        <f>IF(constants!$O$4=1,Data!D228,-Data!D228)</f>
        <v>0</v>
      </c>
      <c r="F228" s="382">
        <f>IF(constants!$O$5=1,Data!E228,-Data!E228)</f>
        <v>0</v>
      </c>
      <c r="G228" s="382">
        <f>IF(constants!$O$6=1,Data!F228,-Data!F228)</f>
        <v>0</v>
      </c>
      <c r="H228" s="397">
        <f>IF(constants!$O$7=1,Data!G228,-Data!G228)</f>
        <v>0</v>
      </c>
    </row>
    <row r="229" spans="1:8" s="93" customFormat="1">
      <c r="A229" s="519"/>
      <c r="B229" s="380">
        <f>Data!A229</f>
        <v>2.52</v>
      </c>
      <c r="C229" s="382">
        <f>IF(constants!$O$2=1,Data!B229,-Data!B229)</f>
        <v>1.4952841039797562</v>
      </c>
      <c r="D229" s="382">
        <f>IF(constants!$O$3=1,Data!C229,-Data!C229)</f>
        <v>2.8755463538072239</v>
      </c>
      <c r="E229" s="382">
        <f>IF(constants!$O$4=1,Data!D229,-Data!D229)</f>
        <v>0</v>
      </c>
      <c r="F229" s="382">
        <f>IF(constants!$O$5=1,Data!E229,-Data!E229)</f>
        <v>0</v>
      </c>
      <c r="G229" s="382">
        <f>IF(constants!$O$6=1,Data!F229,-Data!F229)</f>
        <v>0</v>
      </c>
      <c r="H229" s="397">
        <f>IF(constants!$O$7=1,Data!G229,-Data!G229)</f>
        <v>0</v>
      </c>
    </row>
    <row r="230" spans="1:8" s="93" customFormat="1">
      <c r="A230" s="519"/>
      <c r="B230" s="380">
        <f>Data!A230</f>
        <v>2.54</v>
      </c>
      <c r="C230" s="382">
        <f>IF(constants!$O$2=1,Data!B230,-Data!B230)</f>
        <v>1.5527950310559007</v>
      </c>
      <c r="D230" s="382">
        <f>IF(constants!$O$3=1,Data!C230,-Data!C230)</f>
        <v>2.8755463538072239</v>
      </c>
      <c r="E230" s="382">
        <f>IF(constants!$O$4=1,Data!D230,-Data!D230)</f>
        <v>0</v>
      </c>
      <c r="F230" s="382">
        <f>IF(constants!$O$5=1,Data!E230,-Data!E230)</f>
        <v>0</v>
      </c>
      <c r="G230" s="382">
        <f>IF(constants!$O$6=1,Data!F230,-Data!F230)</f>
        <v>0</v>
      </c>
      <c r="H230" s="397">
        <f>IF(constants!$O$7=1,Data!G230,-Data!G230)</f>
        <v>0</v>
      </c>
    </row>
    <row r="231" spans="1:8" s="93" customFormat="1">
      <c r="A231" s="519"/>
      <c r="B231" s="380">
        <f>Data!A231</f>
        <v>2.56</v>
      </c>
      <c r="C231" s="382">
        <f>IF(constants!$O$2=1,Data!B231,-Data!B231)</f>
        <v>1.6103059581320451</v>
      </c>
      <c r="D231" s="382">
        <f>IF(constants!$O$3=1,Data!C231,-Data!C231)</f>
        <v>2.8755463538072239</v>
      </c>
      <c r="E231" s="382">
        <f>IF(constants!$O$4=1,Data!D231,-Data!D231)</f>
        <v>0</v>
      </c>
      <c r="F231" s="382">
        <f>IF(constants!$O$5=1,Data!E231,-Data!E231)</f>
        <v>0</v>
      </c>
      <c r="G231" s="382">
        <f>IF(constants!$O$6=1,Data!F231,-Data!F231)</f>
        <v>0</v>
      </c>
      <c r="H231" s="397">
        <f>IF(constants!$O$7=1,Data!G231,-Data!G231)</f>
        <v>0</v>
      </c>
    </row>
    <row r="232" spans="1:8" s="93" customFormat="1">
      <c r="A232" s="519"/>
      <c r="B232" s="380">
        <f>Data!A232</f>
        <v>2.58</v>
      </c>
      <c r="C232" s="382">
        <f>IF(constants!$O$2=1,Data!B232,-Data!B232)</f>
        <v>1.6678168852081905</v>
      </c>
      <c r="D232" s="382">
        <f>IF(constants!$O$3=1,Data!C232,-Data!C232)</f>
        <v>2.8755463538072239</v>
      </c>
      <c r="E232" s="382">
        <f>IF(constants!$O$4=1,Data!D232,-Data!D232)</f>
        <v>0</v>
      </c>
      <c r="F232" s="382">
        <f>IF(constants!$O$5=1,Data!E232,-Data!E232)</f>
        <v>0</v>
      </c>
      <c r="G232" s="382">
        <f>IF(constants!$O$6=1,Data!F232,-Data!F232)</f>
        <v>0</v>
      </c>
      <c r="H232" s="397">
        <f>IF(constants!$O$7=1,Data!G232,-Data!G232)</f>
        <v>0</v>
      </c>
    </row>
    <row r="233" spans="1:8" s="93" customFormat="1">
      <c r="A233" s="519"/>
      <c r="B233" s="380">
        <f>Data!A233</f>
        <v>2.6</v>
      </c>
      <c r="C233" s="382">
        <f>IF(constants!$O$2=1,Data!B233,-Data!B233)</f>
        <v>1.725327812284335</v>
      </c>
      <c r="D233" s="382">
        <f>IF(constants!$O$3=1,Data!C233,-Data!C233)</f>
        <v>2.8755463538072239</v>
      </c>
      <c r="E233" s="382">
        <f>IF(constants!$O$4=1,Data!D233,-Data!D233)</f>
        <v>0</v>
      </c>
      <c r="F233" s="382">
        <f>IF(constants!$O$5=1,Data!E233,-Data!E233)</f>
        <v>0</v>
      </c>
      <c r="G233" s="382">
        <f>IF(constants!$O$6=1,Data!F233,-Data!F233)</f>
        <v>0</v>
      </c>
      <c r="H233" s="397">
        <f>IF(constants!$O$7=1,Data!G233,-Data!G233)</f>
        <v>0</v>
      </c>
    </row>
    <row r="234" spans="1:8" s="93" customFormat="1">
      <c r="A234" s="519"/>
      <c r="B234" s="380">
        <f>Data!A234</f>
        <v>2.62</v>
      </c>
      <c r="C234" s="382">
        <f>IF(constants!$O$2=1,Data!B234,-Data!B234)</f>
        <v>1.7828387393604794</v>
      </c>
      <c r="D234" s="382">
        <f>IF(constants!$O$3=1,Data!C234,-Data!C234)</f>
        <v>2.8755463538072239</v>
      </c>
      <c r="E234" s="382">
        <f>IF(constants!$O$4=1,Data!D234,-Data!D234)</f>
        <v>0</v>
      </c>
      <c r="F234" s="382">
        <f>IF(constants!$O$5=1,Data!E234,-Data!E234)</f>
        <v>0</v>
      </c>
      <c r="G234" s="382">
        <f>IF(constants!$O$6=1,Data!F234,-Data!F234)</f>
        <v>0</v>
      </c>
      <c r="H234" s="397">
        <f>IF(constants!$O$7=1,Data!G234,-Data!G234)</f>
        <v>0</v>
      </c>
    </row>
    <row r="235" spans="1:8" s="93" customFormat="1">
      <c r="A235" s="519"/>
      <c r="B235" s="380">
        <f>Data!A235</f>
        <v>2.64</v>
      </c>
      <c r="C235" s="382">
        <f>IF(constants!$O$2=1,Data!B235,-Data!B235)</f>
        <v>1.8403496664366239</v>
      </c>
      <c r="D235" s="382">
        <f>IF(constants!$O$3=1,Data!C235,-Data!C235)</f>
        <v>2.8755463538072239</v>
      </c>
      <c r="E235" s="382">
        <f>IF(constants!$O$4=1,Data!D235,-Data!D235)</f>
        <v>0</v>
      </c>
      <c r="F235" s="382">
        <f>IF(constants!$O$5=1,Data!E235,-Data!E235)</f>
        <v>0</v>
      </c>
      <c r="G235" s="382">
        <f>IF(constants!$O$6=1,Data!F235,-Data!F235)</f>
        <v>0</v>
      </c>
      <c r="H235" s="397">
        <f>IF(constants!$O$7=1,Data!G235,-Data!G235)</f>
        <v>0</v>
      </c>
    </row>
    <row r="236" spans="1:8" s="93" customFormat="1">
      <c r="A236" s="519"/>
      <c r="B236" s="380">
        <f>Data!A236</f>
        <v>2.66</v>
      </c>
      <c r="C236" s="382">
        <f>IF(constants!$O$2=1,Data!B236,-Data!B236)</f>
        <v>1.8978605935127684</v>
      </c>
      <c r="D236" s="382">
        <f>IF(constants!$O$3=1,Data!C236,-Data!C236)</f>
        <v>2.8755463538072239</v>
      </c>
      <c r="E236" s="382">
        <f>IF(constants!$O$4=1,Data!D236,-Data!D236)</f>
        <v>0</v>
      </c>
      <c r="F236" s="382">
        <f>IF(constants!$O$5=1,Data!E236,-Data!E236)</f>
        <v>0</v>
      </c>
      <c r="G236" s="382">
        <f>IF(constants!$O$6=1,Data!F236,-Data!F236)</f>
        <v>0</v>
      </c>
      <c r="H236" s="397">
        <f>IF(constants!$O$7=1,Data!G236,-Data!G236)</f>
        <v>0</v>
      </c>
    </row>
    <row r="237" spans="1:8" s="93" customFormat="1">
      <c r="A237" s="519"/>
      <c r="B237" s="380">
        <f>Data!A237</f>
        <v>2.68</v>
      </c>
      <c r="C237" s="382">
        <f>IF(constants!$O$2=1,Data!B237,-Data!B237)</f>
        <v>1.9553715205889128</v>
      </c>
      <c r="D237" s="382">
        <f>IF(constants!$O$3=1,Data!C237,-Data!C237)</f>
        <v>2.8755463538072239</v>
      </c>
      <c r="E237" s="382">
        <f>IF(constants!$O$4=1,Data!D237,-Data!D237)</f>
        <v>0</v>
      </c>
      <c r="F237" s="382">
        <f>IF(constants!$O$5=1,Data!E237,-Data!E237)</f>
        <v>0</v>
      </c>
      <c r="G237" s="382">
        <f>IF(constants!$O$6=1,Data!F237,-Data!F237)</f>
        <v>0</v>
      </c>
      <c r="H237" s="397">
        <f>IF(constants!$O$7=1,Data!G237,-Data!G237)</f>
        <v>0</v>
      </c>
    </row>
    <row r="238" spans="1:8" s="93" customFormat="1">
      <c r="A238" s="519"/>
      <c r="B238" s="380">
        <f>Data!A238</f>
        <v>2.7</v>
      </c>
      <c r="C238" s="382">
        <f>IF(constants!$O$2=1,Data!B238,-Data!B238)</f>
        <v>2.0128824476650573</v>
      </c>
      <c r="D238" s="382">
        <f>IF(constants!$O$3=1,Data!C238,-Data!C238)</f>
        <v>2.8755463538072239</v>
      </c>
      <c r="E238" s="382">
        <f>IF(constants!$O$4=1,Data!D238,-Data!D238)</f>
        <v>0</v>
      </c>
      <c r="F238" s="382">
        <f>IF(constants!$O$5=1,Data!E238,-Data!E238)</f>
        <v>0</v>
      </c>
      <c r="G238" s="382">
        <f>IF(constants!$O$6=1,Data!F238,-Data!F238)</f>
        <v>0</v>
      </c>
      <c r="H238" s="397">
        <f>IF(constants!$O$7=1,Data!G238,-Data!G238)</f>
        <v>0</v>
      </c>
    </row>
    <row r="239" spans="1:8" s="93" customFormat="1">
      <c r="A239" s="519"/>
      <c r="B239" s="380">
        <f>Data!A239</f>
        <v>2.7199999999999998</v>
      </c>
      <c r="C239" s="382">
        <f>IF(constants!$O$2=1,Data!B239,-Data!B239)</f>
        <v>2.0703933747412009</v>
      </c>
      <c r="D239" s="382">
        <f>IF(constants!$O$3=1,Data!C239,-Data!C239)</f>
        <v>2.8755463538072239</v>
      </c>
      <c r="E239" s="382">
        <f>IF(constants!$O$4=1,Data!D239,-Data!D239)</f>
        <v>0</v>
      </c>
      <c r="F239" s="382">
        <f>IF(constants!$O$5=1,Data!E239,-Data!E239)</f>
        <v>0</v>
      </c>
      <c r="G239" s="382">
        <f>IF(constants!$O$6=1,Data!F239,-Data!F239)</f>
        <v>0</v>
      </c>
      <c r="H239" s="397">
        <f>IF(constants!$O$7=1,Data!G239,-Data!G239)</f>
        <v>0</v>
      </c>
    </row>
    <row r="240" spans="1:8" s="93" customFormat="1">
      <c r="A240" s="519"/>
      <c r="B240" s="380">
        <f>Data!A240</f>
        <v>2.74</v>
      </c>
      <c r="C240" s="382">
        <f>IF(constants!$O$2=1,Data!B240,-Data!B240)</f>
        <v>2.1279043018173462</v>
      </c>
      <c r="D240" s="382">
        <f>IF(constants!$O$3=1,Data!C240,-Data!C240)</f>
        <v>2.8755463538072239</v>
      </c>
      <c r="E240" s="382">
        <f>IF(constants!$O$4=1,Data!D240,-Data!D240)</f>
        <v>0</v>
      </c>
      <c r="F240" s="382">
        <f>IF(constants!$O$5=1,Data!E240,-Data!E240)</f>
        <v>0</v>
      </c>
      <c r="G240" s="382">
        <f>IF(constants!$O$6=1,Data!F240,-Data!F240)</f>
        <v>0</v>
      </c>
      <c r="H240" s="397">
        <f>IF(constants!$O$7=1,Data!G240,-Data!G240)</f>
        <v>0</v>
      </c>
    </row>
    <row r="241" spans="1:8" s="93" customFormat="1">
      <c r="A241" s="519"/>
      <c r="B241" s="380">
        <f>Data!A241</f>
        <v>2.76</v>
      </c>
      <c r="C241" s="382">
        <f>IF(constants!$O$2=1,Data!B241,-Data!B241)</f>
        <v>2.1854152288934898</v>
      </c>
      <c r="D241" s="382">
        <f>IF(constants!$O$3=1,Data!C241,-Data!C241)</f>
        <v>2.8755463538072239</v>
      </c>
      <c r="E241" s="382">
        <f>IF(constants!$O$4=1,Data!D241,-Data!D241)</f>
        <v>0</v>
      </c>
      <c r="F241" s="382">
        <f>IF(constants!$O$5=1,Data!E241,-Data!E241)</f>
        <v>0</v>
      </c>
      <c r="G241" s="382">
        <f>IF(constants!$O$6=1,Data!F241,-Data!F241)</f>
        <v>0</v>
      </c>
      <c r="H241" s="397">
        <f>IF(constants!$O$7=1,Data!G241,-Data!G241)</f>
        <v>0</v>
      </c>
    </row>
    <row r="242" spans="1:8" s="93" customFormat="1">
      <c r="A242" s="519"/>
      <c r="B242" s="380">
        <f>Data!A242</f>
        <v>2.7800000000000002</v>
      </c>
      <c r="C242" s="382">
        <f>IF(constants!$O$2=1,Data!B242,-Data!B242)</f>
        <v>2.2429261559696352</v>
      </c>
      <c r="D242" s="382">
        <f>IF(constants!$O$3=1,Data!C242,-Data!C242)</f>
        <v>2.8755463538072239</v>
      </c>
      <c r="E242" s="382">
        <f>IF(constants!$O$4=1,Data!D242,-Data!D242)</f>
        <v>0</v>
      </c>
      <c r="F242" s="382">
        <f>IF(constants!$O$5=1,Data!E242,-Data!E242)</f>
        <v>0</v>
      </c>
      <c r="G242" s="382">
        <f>IF(constants!$O$6=1,Data!F242,-Data!F242)</f>
        <v>0</v>
      </c>
      <c r="H242" s="397">
        <f>IF(constants!$O$7=1,Data!G242,-Data!G242)</f>
        <v>0</v>
      </c>
    </row>
    <row r="243" spans="1:8" s="93" customFormat="1">
      <c r="A243" s="519"/>
      <c r="B243" s="380">
        <f>Data!A243</f>
        <v>2.8</v>
      </c>
      <c r="C243" s="382">
        <f>IF(constants!$O$2=1,Data!B243,-Data!B243)</f>
        <v>2.3004370830457779</v>
      </c>
      <c r="D243" s="382">
        <f>IF(constants!$O$3=1,Data!C243,-Data!C243)</f>
        <v>2.8755463538072239</v>
      </c>
      <c r="E243" s="382">
        <f>IF(constants!$O$4=1,Data!D243,-Data!D243)</f>
        <v>0</v>
      </c>
      <c r="F243" s="382">
        <f>IF(constants!$O$5=1,Data!E243,-Data!E243)</f>
        <v>0</v>
      </c>
      <c r="G243" s="382">
        <f>IF(constants!$O$6=1,Data!F243,-Data!F243)</f>
        <v>0</v>
      </c>
      <c r="H243" s="397">
        <f>IF(constants!$O$7=1,Data!G243,-Data!G243)</f>
        <v>0</v>
      </c>
    </row>
    <row r="244" spans="1:8" s="93" customFormat="1">
      <c r="A244" s="519"/>
      <c r="B244" s="380">
        <f>Data!A244</f>
        <v>2.82</v>
      </c>
      <c r="C244" s="382">
        <f>IF(constants!$O$2=1,Data!B244,-Data!B244)</f>
        <v>2.3579480101219223</v>
      </c>
      <c r="D244" s="382">
        <f>IF(constants!$O$3=1,Data!C244,-Data!C244)</f>
        <v>2.8755463538072239</v>
      </c>
      <c r="E244" s="382">
        <f>IF(constants!$O$4=1,Data!D244,-Data!D244)</f>
        <v>0</v>
      </c>
      <c r="F244" s="382">
        <f>IF(constants!$O$5=1,Data!E244,-Data!E244)</f>
        <v>0</v>
      </c>
      <c r="G244" s="382">
        <f>IF(constants!$O$6=1,Data!F244,-Data!F244)</f>
        <v>0</v>
      </c>
      <c r="H244" s="397">
        <f>IF(constants!$O$7=1,Data!G244,-Data!G244)</f>
        <v>0</v>
      </c>
    </row>
    <row r="245" spans="1:8" s="93" customFormat="1">
      <c r="A245" s="519"/>
      <c r="B245" s="380">
        <f>Data!A245</f>
        <v>2.84</v>
      </c>
      <c r="C245" s="382">
        <f>IF(constants!$O$2=1,Data!B245,-Data!B245)</f>
        <v>2.4154589371980668</v>
      </c>
      <c r="D245" s="382">
        <f>IF(constants!$O$3=1,Data!C245,-Data!C245)</f>
        <v>2.8755463538072239</v>
      </c>
      <c r="E245" s="382">
        <f>IF(constants!$O$4=1,Data!D245,-Data!D245)</f>
        <v>0</v>
      </c>
      <c r="F245" s="382">
        <f>IF(constants!$O$5=1,Data!E245,-Data!E245)</f>
        <v>0</v>
      </c>
      <c r="G245" s="382">
        <f>IF(constants!$O$6=1,Data!F245,-Data!F245)</f>
        <v>0</v>
      </c>
      <c r="H245" s="397">
        <f>IF(constants!$O$7=1,Data!G245,-Data!G245)</f>
        <v>0</v>
      </c>
    </row>
    <row r="246" spans="1:8" s="93" customFormat="1">
      <c r="A246" s="519"/>
      <c r="B246" s="380">
        <f>Data!A246</f>
        <v>2.86</v>
      </c>
      <c r="C246" s="382">
        <f>IF(constants!$O$2=1,Data!B246,-Data!B246)</f>
        <v>2.4729698642742131</v>
      </c>
      <c r="D246" s="382">
        <f>IF(constants!$O$3=1,Data!C246,-Data!C246)</f>
        <v>2.8755463538072239</v>
      </c>
      <c r="E246" s="382">
        <f>IF(constants!$O$4=1,Data!D246,-Data!D246)</f>
        <v>0</v>
      </c>
      <c r="F246" s="382">
        <f>IF(constants!$O$5=1,Data!E246,-Data!E246)</f>
        <v>0</v>
      </c>
      <c r="G246" s="382">
        <f>IF(constants!$O$6=1,Data!F246,-Data!F246)</f>
        <v>0</v>
      </c>
      <c r="H246" s="397">
        <f>IF(constants!$O$7=1,Data!G246,-Data!G246)</f>
        <v>0</v>
      </c>
    </row>
    <row r="247" spans="1:8" s="93" customFormat="1">
      <c r="A247" s="519"/>
      <c r="B247" s="380">
        <f>Data!A247</f>
        <v>2.88</v>
      </c>
      <c r="C247" s="382">
        <f>IF(constants!$O$2=1,Data!B247,-Data!B247)</f>
        <v>2.5304807913503575</v>
      </c>
      <c r="D247" s="382">
        <f>IF(constants!$O$3=1,Data!C247,-Data!C247)</f>
        <v>2.8755463538072239</v>
      </c>
      <c r="E247" s="382">
        <f>IF(constants!$O$4=1,Data!D247,-Data!D247)</f>
        <v>0</v>
      </c>
      <c r="F247" s="382">
        <f>IF(constants!$O$5=1,Data!E247,-Data!E247)</f>
        <v>0</v>
      </c>
      <c r="G247" s="382">
        <f>IF(constants!$O$6=1,Data!F247,-Data!F247)</f>
        <v>0</v>
      </c>
      <c r="H247" s="397">
        <f>IF(constants!$O$7=1,Data!G247,-Data!G247)</f>
        <v>0</v>
      </c>
    </row>
    <row r="248" spans="1:8" s="93" customFormat="1">
      <c r="A248" s="519"/>
      <c r="B248" s="380">
        <f>Data!A248</f>
        <v>2.9</v>
      </c>
      <c r="C248" s="382">
        <f>IF(constants!$O$2=1,Data!B248,-Data!B248)</f>
        <v>2.587991718426502</v>
      </c>
      <c r="D248" s="382">
        <f>IF(constants!$O$3=1,Data!C248,-Data!C248)</f>
        <v>2.8755463538072239</v>
      </c>
      <c r="E248" s="382">
        <f>IF(constants!$O$4=1,Data!D248,-Data!D248)</f>
        <v>0</v>
      </c>
      <c r="F248" s="382">
        <f>IF(constants!$O$5=1,Data!E248,-Data!E248)</f>
        <v>0</v>
      </c>
      <c r="G248" s="382">
        <f>IF(constants!$O$6=1,Data!F248,-Data!F248)</f>
        <v>0</v>
      </c>
      <c r="H248" s="397">
        <f>IF(constants!$O$7=1,Data!G248,-Data!G248)</f>
        <v>0</v>
      </c>
    </row>
    <row r="249" spans="1:8" s="93" customFormat="1">
      <c r="A249" s="519"/>
      <c r="B249" s="380">
        <f>Data!A249</f>
        <v>2.92</v>
      </c>
      <c r="C249" s="382">
        <f>IF(constants!$O$2=1,Data!B249,-Data!B249)</f>
        <v>2.6455026455026465</v>
      </c>
      <c r="D249" s="382">
        <f>IF(constants!$O$3=1,Data!C249,-Data!C249)</f>
        <v>2.8755463538072239</v>
      </c>
      <c r="E249" s="382">
        <f>IF(constants!$O$4=1,Data!D249,-Data!D249)</f>
        <v>0</v>
      </c>
      <c r="F249" s="382">
        <f>IF(constants!$O$5=1,Data!E249,-Data!E249)</f>
        <v>0</v>
      </c>
      <c r="G249" s="382">
        <f>IF(constants!$O$6=1,Data!F249,-Data!F249)</f>
        <v>0</v>
      </c>
      <c r="H249" s="397">
        <f>IF(constants!$O$7=1,Data!G249,-Data!G249)</f>
        <v>0</v>
      </c>
    </row>
    <row r="250" spans="1:8" s="93" customFormat="1">
      <c r="A250" s="519"/>
      <c r="B250" s="380">
        <f>Data!A250</f>
        <v>2.94</v>
      </c>
      <c r="C250" s="382">
        <f>IF(constants!$O$2=1,Data!B250,-Data!B250)</f>
        <v>2.7030135725787909</v>
      </c>
      <c r="D250" s="382">
        <f>IF(constants!$O$3=1,Data!C250,-Data!C250)</f>
        <v>2.8755463538072239</v>
      </c>
      <c r="E250" s="382">
        <f>IF(constants!$O$4=1,Data!D250,-Data!D250)</f>
        <v>0</v>
      </c>
      <c r="F250" s="382">
        <f>IF(constants!$O$5=1,Data!E250,-Data!E250)</f>
        <v>0</v>
      </c>
      <c r="G250" s="382">
        <f>IF(constants!$O$6=1,Data!F250,-Data!F250)</f>
        <v>0</v>
      </c>
      <c r="H250" s="397">
        <f>IF(constants!$O$7=1,Data!G250,-Data!G250)</f>
        <v>0</v>
      </c>
    </row>
    <row r="251" spans="1:8" s="93" customFormat="1">
      <c r="A251" s="519"/>
      <c r="B251" s="380">
        <f>Data!A251</f>
        <v>2.96</v>
      </c>
      <c r="C251" s="382">
        <f>IF(constants!$O$2=1,Data!B251,-Data!B251)</f>
        <v>2.7605244996549354</v>
      </c>
      <c r="D251" s="382">
        <f>IF(constants!$O$3=1,Data!C251,-Data!C251)</f>
        <v>2.8755463538072239</v>
      </c>
      <c r="E251" s="382">
        <f>IF(constants!$O$4=1,Data!D251,-Data!D251)</f>
        <v>0</v>
      </c>
      <c r="F251" s="382">
        <f>IF(constants!$O$5=1,Data!E251,-Data!E251)</f>
        <v>0</v>
      </c>
      <c r="G251" s="382">
        <f>IF(constants!$O$6=1,Data!F251,-Data!F251)</f>
        <v>0</v>
      </c>
      <c r="H251" s="397">
        <f>IF(constants!$O$7=1,Data!G251,-Data!G251)</f>
        <v>0</v>
      </c>
    </row>
    <row r="252" spans="1:8" s="93" customFormat="1">
      <c r="A252" s="519"/>
      <c r="B252" s="380">
        <f>Data!A252</f>
        <v>2.98</v>
      </c>
      <c r="C252" s="382">
        <f>IF(constants!$O$2=1,Data!B252,-Data!B252)</f>
        <v>2.8180354267310799</v>
      </c>
      <c r="D252" s="382">
        <f>IF(constants!$O$3=1,Data!C252,-Data!C252)</f>
        <v>2.8755463538072239</v>
      </c>
      <c r="E252" s="382">
        <f>IF(constants!$O$4=1,Data!D252,-Data!D252)</f>
        <v>0</v>
      </c>
      <c r="F252" s="382">
        <f>IF(constants!$O$5=1,Data!E252,-Data!E252)</f>
        <v>0</v>
      </c>
      <c r="G252" s="382">
        <f>IF(constants!$O$6=1,Data!F252,-Data!F252)</f>
        <v>0</v>
      </c>
      <c r="H252" s="397">
        <f>IF(constants!$O$7=1,Data!G252,-Data!G252)</f>
        <v>0</v>
      </c>
    </row>
    <row r="253" spans="1:8" s="93" customFormat="1">
      <c r="A253" s="519"/>
      <c r="B253" s="380">
        <f>Data!A253</f>
        <v>3</v>
      </c>
      <c r="C253" s="382">
        <f>IF(constants!$O$2=1,Data!B253,-Data!B253)</f>
        <v>2.8755463538072243</v>
      </c>
      <c r="D253" s="382">
        <f>IF(constants!$O$3=1,Data!C253,-Data!C253)</f>
        <v>2.8755463538072239</v>
      </c>
      <c r="E253" s="382">
        <f>IF(constants!$O$4=1,Data!D253,-Data!D253)</f>
        <v>0</v>
      </c>
      <c r="F253" s="382">
        <f>IF(constants!$O$5=1,Data!E253,-Data!E253)</f>
        <v>0</v>
      </c>
      <c r="G253" s="382">
        <f>IF(constants!$O$6=1,Data!F253,-Data!F253)</f>
        <v>0</v>
      </c>
      <c r="H253" s="397">
        <f>IF(constants!$O$7=1,Data!G253,-Data!G253)</f>
        <v>0</v>
      </c>
    </row>
    <row r="254" spans="1:8" s="93" customFormat="1">
      <c r="A254" s="519"/>
      <c r="B254" s="380">
        <f>Data!A254</f>
        <v>3.02</v>
      </c>
      <c r="C254" s="382">
        <f>IF(constants!$O$2=1,Data!B254,-Data!B254)</f>
        <v>2.9330572808833688</v>
      </c>
      <c r="D254" s="382">
        <f>IF(constants!$O$3=1,Data!C254,-Data!C254)</f>
        <v>2.8755463538072239</v>
      </c>
      <c r="E254" s="382">
        <f>IF(constants!$O$4=1,Data!D254,-Data!D254)</f>
        <v>0</v>
      </c>
      <c r="F254" s="382">
        <f>IF(constants!$O$5=1,Data!E254,-Data!E254)</f>
        <v>0</v>
      </c>
      <c r="G254" s="382">
        <f>IF(constants!$O$6=1,Data!F254,-Data!F254)</f>
        <v>0</v>
      </c>
      <c r="H254" s="397">
        <f>IF(constants!$O$7=1,Data!G254,-Data!G254)</f>
        <v>0</v>
      </c>
    </row>
    <row r="255" spans="1:8" s="93" customFormat="1">
      <c r="A255" s="519"/>
      <c r="B255" s="380">
        <f>Data!A255</f>
        <v>3.04</v>
      </c>
      <c r="C255" s="382">
        <f>IF(constants!$O$2=1,Data!B255,-Data!B255)</f>
        <v>2.9905682079595133</v>
      </c>
      <c r="D255" s="382">
        <f>IF(constants!$O$3=1,Data!C255,-Data!C255)</f>
        <v>2.8755463538072239</v>
      </c>
      <c r="E255" s="382">
        <f>IF(constants!$O$4=1,Data!D255,-Data!D255)</f>
        <v>0</v>
      </c>
      <c r="F255" s="382">
        <f>IF(constants!$O$5=1,Data!E255,-Data!E255)</f>
        <v>0</v>
      </c>
      <c r="G255" s="382">
        <f>IF(constants!$O$6=1,Data!F255,-Data!F255)</f>
        <v>0</v>
      </c>
      <c r="H255" s="397">
        <f>IF(constants!$O$7=1,Data!G255,-Data!G255)</f>
        <v>0</v>
      </c>
    </row>
    <row r="256" spans="1:8" s="93" customFormat="1">
      <c r="A256" s="519"/>
      <c r="B256" s="380">
        <f>Data!A256</f>
        <v>3.06</v>
      </c>
      <c r="C256" s="382">
        <f>IF(constants!$O$2=1,Data!B256,-Data!B256)</f>
        <v>3.0480791350356577</v>
      </c>
      <c r="D256" s="382">
        <f>IF(constants!$O$3=1,Data!C256,-Data!C256)</f>
        <v>2.8755463538072239</v>
      </c>
      <c r="E256" s="382">
        <f>IF(constants!$O$4=1,Data!D256,-Data!D256)</f>
        <v>0</v>
      </c>
      <c r="F256" s="382">
        <f>IF(constants!$O$5=1,Data!E256,-Data!E256)</f>
        <v>0</v>
      </c>
      <c r="G256" s="382">
        <f>IF(constants!$O$6=1,Data!F256,-Data!F256)</f>
        <v>0</v>
      </c>
      <c r="H256" s="397">
        <f>IF(constants!$O$7=1,Data!G256,-Data!G256)</f>
        <v>0</v>
      </c>
    </row>
    <row r="257" spans="1:8" s="93" customFormat="1">
      <c r="A257" s="519"/>
      <c r="B257" s="380">
        <f>Data!A257</f>
        <v>3.08</v>
      </c>
      <c r="C257" s="382">
        <f>IF(constants!$O$2=1,Data!B257,-Data!B257)</f>
        <v>3.1055900621118022</v>
      </c>
      <c r="D257" s="382">
        <f>IF(constants!$O$3=1,Data!C257,-Data!C257)</f>
        <v>2.8755463538072239</v>
      </c>
      <c r="E257" s="382">
        <f>IF(constants!$O$4=1,Data!D257,-Data!D257)</f>
        <v>0</v>
      </c>
      <c r="F257" s="382">
        <f>IF(constants!$O$5=1,Data!E257,-Data!E257)</f>
        <v>0</v>
      </c>
      <c r="G257" s="382">
        <f>IF(constants!$O$6=1,Data!F257,-Data!F257)</f>
        <v>0</v>
      </c>
      <c r="H257" s="397">
        <f>IF(constants!$O$7=1,Data!G257,-Data!G257)</f>
        <v>0</v>
      </c>
    </row>
    <row r="258" spans="1:8" s="93" customFormat="1">
      <c r="A258" s="519"/>
      <c r="B258" s="380">
        <f>Data!A258</f>
        <v>3.1</v>
      </c>
      <c r="C258" s="382">
        <f>IF(constants!$O$2=1,Data!B258,-Data!B258)</f>
        <v>3.1631009891879467</v>
      </c>
      <c r="D258" s="382">
        <f>IF(constants!$O$3=1,Data!C258,-Data!C258)</f>
        <v>2.8755463538072239</v>
      </c>
      <c r="E258" s="382">
        <f>IF(constants!$O$4=1,Data!D258,-Data!D258)</f>
        <v>0</v>
      </c>
      <c r="F258" s="382">
        <f>IF(constants!$O$5=1,Data!E258,-Data!E258)</f>
        <v>0</v>
      </c>
      <c r="G258" s="382">
        <f>IF(constants!$O$6=1,Data!F258,-Data!F258)</f>
        <v>0</v>
      </c>
      <c r="H258" s="397">
        <f>IF(constants!$O$7=1,Data!G258,-Data!G258)</f>
        <v>0</v>
      </c>
    </row>
    <row r="259" spans="1:8" s="93" customFormat="1">
      <c r="A259" s="519"/>
      <c r="B259" s="380">
        <f>Data!A259</f>
        <v>3.12</v>
      </c>
      <c r="C259" s="382">
        <f>IF(constants!$O$2=1,Data!B259,-Data!B259)</f>
        <v>3.2206119162640912</v>
      </c>
      <c r="D259" s="382">
        <f>IF(constants!$O$3=1,Data!C259,-Data!C259)</f>
        <v>2.8755463538072239</v>
      </c>
      <c r="E259" s="382">
        <f>IF(constants!$O$4=1,Data!D259,-Data!D259)</f>
        <v>0</v>
      </c>
      <c r="F259" s="382">
        <f>IF(constants!$O$5=1,Data!E259,-Data!E259)</f>
        <v>0</v>
      </c>
      <c r="G259" s="382">
        <f>IF(constants!$O$6=1,Data!F259,-Data!F259)</f>
        <v>0</v>
      </c>
      <c r="H259" s="397">
        <f>IF(constants!$O$7=1,Data!G259,-Data!G259)</f>
        <v>0</v>
      </c>
    </row>
    <row r="260" spans="1:8" s="93" customFormat="1">
      <c r="A260" s="519"/>
      <c r="B260" s="380">
        <f>Data!A260</f>
        <v>3.1399999999999997</v>
      </c>
      <c r="C260" s="382">
        <f>IF(constants!$O$2=1,Data!B260,-Data!B260)</f>
        <v>3.2781228433402338</v>
      </c>
      <c r="D260" s="382">
        <f>IF(constants!$O$3=1,Data!C260,-Data!C260)</f>
        <v>2.8755463538072239</v>
      </c>
      <c r="E260" s="382">
        <f>IF(constants!$O$4=1,Data!D260,-Data!D260)</f>
        <v>0</v>
      </c>
      <c r="F260" s="382">
        <f>IF(constants!$O$5=1,Data!E260,-Data!E260)</f>
        <v>0</v>
      </c>
      <c r="G260" s="382">
        <f>IF(constants!$O$6=1,Data!F260,-Data!F260)</f>
        <v>0</v>
      </c>
      <c r="H260" s="397">
        <f>IF(constants!$O$7=1,Data!G260,-Data!G260)</f>
        <v>0</v>
      </c>
    </row>
    <row r="261" spans="1:8" s="93" customFormat="1">
      <c r="A261" s="519"/>
      <c r="B261" s="380">
        <f>Data!A261</f>
        <v>3.16</v>
      </c>
      <c r="C261" s="382">
        <f>IF(constants!$O$2=1,Data!B261,-Data!B261)</f>
        <v>3.3356337704163801</v>
      </c>
      <c r="D261" s="382">
        <f>IF(constants!$O$3=1,Data!C261,-Data!C261)</f>
        <v>2.8755463538072239</v>
      </c>
      <c r="E261" s="382">
        <f>IF(constants!$O$4=1,Data!D261,-Data!D261)</f>
        <v>0</v>
      </c>
      <c r="F261" s="382">
        <f>IF(constants!$O$5=1,Data!E261,-Data!E261)</f>
        <v>0</v>
      </c>
      <c r="G261" s="382">
        <f>IF(constants!$O$6=1,Data!F261,-Data!F261)</f>
        <v>0</v>
      </c>
      <c r="H261" s="397">
        <f>IF(constants!$O$7=1,Data!G261,-Data!G261)</f>
        <v>0</v>
      </c>
    </row>
    <row r="262" spans="1:8" s="93" customFormat="1">
      <c r="A262" s="519"/>
      <c r="B262" s="380">
        <f>Data!A262</f>
        <v>3.1799999999999997</v>
      </c>
      <c r="C262" s="382">
        <f>IF(constants!$O$2=1,Data!B262,-Data!B262)</f>
        <v>3.3931446974925228</v>
      </c>
      <c r="D262" s="382">
        <f>IF(constants!$O$3=1,Data!C262,-Data!C262)</f>
        <v>2.8755463538072239</v>
      </c>
      <c r="E262" s="382">
        <f>IF(constants!$O$4=1,Data!D262,-Data!D262)</f>
        <v>0</v>
      </c>
      <c r="F262" s="382">
        <f>IF(constants!$O$5=1,Data!E262,-Data!E262)</f>
        <v>0</v>
      </c>
      <c r="G262" s="382">
        <f>IF(constants!$O$6=1,Data!F262,-Data!F262)</f>
        <v>0</v>
      </c>
      <c r="H262" s="397">
        <f>IF(constants!$O$7=1,Data!G262,-Data!G262)</f>
        <v>0</v>
      </c>
    </row>
    <row r="263" spans="1:8" s="93" customFormat="1">
      <c r="A263" s="519"/>
      <c r="B263" s="380">
        <f>Data!A263</f>
        <v>3.2</v>
      </c>
      <c r="C263" s="382">
        <f>IF(constants!$O$2=1,Data!B263,-Data!B263)</f>
        <v>3.450655624568669</v>
      </c>
      <c r="D263" s="382">
        <f>IF(constants!$O$3=1,Data!C263,-Data!C263)</f>
        <v>2.8755463538072239</v>
      </c>
      <c r="E263" s="382">
        <f>IF(constants!$O$4=1,Data!D263,-Data!D263)</f>
        <v>0</v>
      </c>
      <c r="F263" s="382">
        <f>IF(constants!$O$5=1,Data!E263,-Data!E263)</f>
        <v>0</v>
      </c>
      <c r="G263" s="382">
        <f>IF(constants!$O$6=1,Data!F263,-Data!F263)</f>
        <v>0</v>
      </c>
      <c r="H263" s="397">
        <f>IF(constants!$O$7=1,Data!G263,-Data!G263)</f>
        <v>0</v>
      </c>
    </row>
    <row r="264" spans="1:8" s="93" customFormat="1">
      <c r="A264" s="519"/>
      <c r="B264" s="380">
        <f>Data!A264</f>
        <v>3.2199999999999998</v>
      </c>
      <c r="C264" s="382">
        <f>IF(constants!$O$2=1,Data!B264,-Data!B264)</f>
        <v>3.5081665516448117</v>
      </c>
      <c r="D264" s="382">
        <f>IF(constants!$O$3=1,Data!C264,-Data!C264)</f>
        <v>2.8755463538072239</v>
      </c>
      <c r="E264" s="382">
        <f>IF(constants!$O$4=1,Data!D264,-Data!D264)</f>
        <v>0</v>
      </c>
      <c r="F264" s="382">
        <f>IF(constants!$O$5=1,Data!E264,-Data!E264)</f>
        <v>0</v>
      </c>
      <c r="G264" s="382">
        <f>IF(constants!$O$6=1,Data!F264,-Data!F264)</f>
        <v>0</v>
      </c>
      <c r="H264" s="397">
        <f>IF(constants!$O$7=1,Data!G264,-Data!G264)</f>
        <v>0</v>
      </c>
    </row>
    <row r="265" spans="1:8" s="93" customFormat="1">
      <c r="A265" s="519"/>
      <c r="B265" s="380">
        <f>Data!A265</f>
        <v>3.24</v>
      </c>
      <c r="C265" s="382">
        <f>IF(constants!$O$2=1,Data!B265,-Data!B265)</f>
        <v>3.565677478720958</v>
      </c>
      <c r="D265" s="382">
        <f>IF(constants!$O$3=1,Data!C265,-Data!C265)</f>
        <v>2.8755463538072239</v>
      </c>
      <c r="E265" s="382">
        <f>IF(constants!$O$4=1,Data!D265,-Data!D265)</f>
        <v>0</v>
      </c>
      <c r="F265" s="382">
        <f>IF(constants!$O$5=1,Data!E265,-Data!E265)</f>
        <v>0</v>
      </c>
      <c r="G265" s="382">
        <f>IF(constants!$O$6=1,Data!F265,-Data!F265)</f>
        <v>0</v>
      </c>
      <c r="H265" s="397">
        <f>IF(constants!$O$7=1,Data!G265,-Data!G265)</f>
        <v>0</v>
      </c>
    </row>
    <row r="266" spans="1:8" s="93" customFormat="1">
      <c r="A266" s="519"/>
      <c r="B266" s="380">
        <f>Data!A266</f>
        <v>3.26</v>
      </c>
      <c r="C266" s="382">
        <f>IF(constants!$O$2=1,Data!B266,-Data!B266)</f>
        <v>3.6231884057971007</v>
      </c>
      <c r="D266" s="382">
        <f>IF(constants!$O$3=1,Data!C266,-Data!C266)</f>
        <v>2.8755463538072239</v>
      </c>
      <c r="E266" s="382">
        <f>IF(constants!$O$4=1,Data!D266,-Data!D266)</f>
        <v>0</v>
      </c>
      <c r="F266" s="382">
        <f>IF(constants!$O$5=1,Data!E266,-Data!E266)</f>
        <v>0</v>
      </c>
      <c r="G266" s="382">
        <f>IF(constants!$O$6=1,Data!F266,-Data!F266)</f>
        <v>0</v>
      </c>
      <c r="H266" s="397">
        <f>IF(constants!$O$7=1,Data!G266,-Data!G266)</f>
        <v>0</v>
      </c>
    </row>
    <row r="267" spans="1:8" s="93" customFormat="1">
      <c r="A267" s="519"/>
      <c r="B267" s="380">
        <f>Data!A267</f>
        <v>3.2800000000000002</v>
      </c>
      <c r="C267" s="382">
        <f>IF(constants!$O$2=1,Data!B267,-Data!B267)</f>
        <v>3.6806993328732469</v>
      </c>
      <c r="D267" s="382">
        <f>IF(constants!$O$3=1,Data!C267,-Data!C267)</f>
        <v>2.8755463538072239</v>
      </c>
      <c r="E267" s="382">
        <f>IF(constants!$O$4=1,Data!D267,-Data!D267)</f>
        <v>0</v>
      </c>
      <c r="F267" s="382">
        <f>IF(constants!$O$5=1,Data!E267,-Data!E267)</f>
        <v>0</v>
      </c>
      <c r="G267" s="382">
        <f>IF(constants!$O$6=1,Data!F267,-Data!F267)</f>
        <v>0</v>
      </c>
      <c r="H267" s="397">
        <f>IF(constants!$O$7=1,Data!G267,-Data!G267)</f>
        <v>0</v>
      </c>
    </row>
    <row r="268" spans="1:8" s="93" customFormat="1">
      <c r="A268" s="519"/>
      <c r="B268" s="380">
        <f>Data!A268</f>
        <v>3.3</v>
      </c>
      <c r="C268" s="382">
        <f>IF(constants!$O$2=1,Data!B268,-Data!B268)</f>
        <v>3.7382102599493914</v>
      </c>
      <c r="D268" s="382">
        <f>IF(constants!$O$3=1,Data!C268,-Data!C268)</f>
        <v>2.8755463538072239</v>
      </c>
      <c r="E268" s="382">
        <f>IF(constants!$O$4=1,Data!D268,-Data!D268)</f>
        <v>0</v>
      </c>
      <c r="F268" s="382">
        <f>IF(constants!$O$5=1,Data!E268,-Data!E268)</f>
        <v>0</v>
      </c>
      <c r="G268" s="382">
        <f>IF(constants!$O$6=1,Data!F268,-Data!F268)</f>
        <v>0</v>
      </c>
      <c r="H268" s="397">
        <f>IF(constants!$O$7=1,Data!G268,-Data!G268)</f>
        <v>0</v>
      </c>
    </row>
    <row r="269" spans="1:8" s="93" customFormat="1">
      <c r="A269" s="519"/>
      <c r="B269" s="380">
        <f>Data!A269</f>
        <v>3.3200000000000003</v>
      </c>
      <c r="C269" s="382">
        <f>IF(constants!$O$2=1,Data!B269,-Data!B269)</f>
        <v>3.7957211870255358</v>
      </c>
      <c r="D269" s="382">
        <f>IF(constants!$O$3=1,Data!C269,-Data!C269)</f>
        <v>2.8755463538072239</v>
      </c>
      <c r="E269" s="382">
        <f>IF(constants!$O$4=1,Data!D269,-Data!D269)</f>
        <v>0</v>
      </c>
      <c r="F269" s="382">
        <f>IF(constants!$O$5=1,Data!E269,-Data!E269)</f>
        <v>0</v>
      </c>
      <c r="G269" s="382">
        <f>IF(constants!$O$6=1,Data!F269,-Data!F269)</f>
        <v>0</v>
      </c>
      <c r="H269" s="397">
        <f>IF(constants!$O$7=1,Data!G269,-Data!G269)</f>
        <v>0</v>
      </c>
    </row>
    <row r="270" spans="1:8" s="93" customFormat="1">
      <c r="A270" s="519"/>
      <c r="B270" s="380">
        <f>Data!A270</f>
        <v>3.34</v>
      </c>
      <c r="C270" s="382">
        <f>IF(constants!$O$2=1,Data!B270,-Data!B270)</f>
        <v>3.8532321141016803</v>
      </c>
      <c r="D270" s="382">
        <f>IF(constants!$O$3=1,Data!C270,-Data!C270)</f>
        <v>2.8755463538072239</v>
      </c>
      <c r="E270" s="382">
        <f>IF(constants!$O$4=1,Data!D270,-Data!D270)</f>
        <v>0</v>
      </c>
      <c r="F270" s="382">
        <f>IF(constants!$O$5=1,Data!E270,-Data!E270)</f>
        <v>0</v>
      </c>
      <c r="G270" s="382">
        <f>IF(constants!$O$6=1,Data!F270,-Data!F270)</f>
        <v>0</v>
      </c>
      <c r="H270" s="397">
        <f>IF(constants!$O$7=1,Data!G270,-Data!G270)</f>
        <v>0</v>
      </c>
    </row>
    <row r="271" spans="1:8" s="93" customFormat="1">
      <c r="A271" s="519"/>
      <c r="B271" s="380">
        <f>Data!A271</f>
        <v>3.3600000000000003</v>
      </c>
      <c r="C271" s="382">
        <f>IF(constants!$O$2=1,Data!B271,-Data!B271)</f>
        <v>3.9107430411778248</v>
      </c>
      <c r="D271" s="382">
        <f>IF(constants!$O$3=1,Data!C271,-Data!C271)</f>
        <v>2.8755463538072239</v>
      </c>
      <c r="E271" s="382">
        <f>IF(constants!$O$4=1,Data!D271,-Data!D271)</f>
        <v>0</v>
      </c>
      <c r="F271" s="382">
        <f>IF(constants!$O$5=1,Data!E271,-Data!E271)</f>
        <v>0</v>
      </c>
      <c r="G271" s="382">
        <f>IF(constants!$O$6=1,Data!F271,-Data!F271)</f>
        <v>0</v>
      </c>
      <c r="H271" s="397">
        <f>IF(constants!$O$7=1,Data!G271,-Data!G271)</f>
        <v>0</v>
      </c>
    </row>
    <row r="272" spans="1:8" s="93" customFormat="1">
      <c r="A272" s="519"/>
      <c r="B272" s="380">
        <f>Data!A272</f>
        <v>3.38</v>
      </c>
      <c r="C272" s="382">
        <f>IF(constants!$O$2=1,Data!B272,-Data!B272)</f>
        <v>3.9682539682539693</v>
      </c>
      <c r="D272" s="382">
        <f>IF(constants!$O$3=1,Data!C272,-Data!C272)</f>
        <v>2.8755463538072239</v>
      </c>
      <c r="E272" s="382">
        <f>IF(constants!$O$4=1,Data!D272,-Data!D272)</f>
        <v>0</v>
      </c>
      <c r="F272" s="382">
        <f>IF(constants!$O$5=1,Data!E272,-Data!E272)</f>
        <v>0</v>
      </c>
      <c r="G272" s="382">
        <f>IF(constants!$O$6=1,Data!F272,-Data!F272)</f>
        <v>0</v>
      </c>
      <c r="H272" s="397">
        <f>IF(constants!$O$7=1,Data!G272,-Data!G272)</f>
        <v>0</v>
      </c>
    </row>
    <row r="273" spans="1:8" s="93" customFormat="1">
      <c r="A273" s="519"/>
      <c r="B273" s="380">
        <f>Data!A273</f>
        <v>3.4</v>
      </c>
      <c r="C273" s="382">
        <f>IF(constants!$O$2=1,Data!B273,-Data!B273)</f>
        <v>4.0257648953301137</v>
      </c>
      <c r="D273" s="382">
        <f>IF(constants!$O$3=1,Data!C273,-Data!C273)</f>
        <v>2.8755463538072239</v>
      </c>
      <c r="E273" s="382">
        <f>IF(constants!$O$4=1,Data!D273,-Data!D273)</f>
        <v>0</v>
      </c>
      <c r="F273" s="382">
        <f>IF(constants!$O$5=1,Data!E273,-Data!E273)</f>
        <v>0</v>
      </c>
      <c r="G273" s="382">
        <f>IF(constants!$O$6=1,Data!F273,-Data!F273)</f>
        <v>0</v>
      </c>
      <c r="H273" s="397">
        <f>IF(constants!$O$7=1,Data!G273,-Data!G273)</f>
        <v>0</v>
      </c>
    </row>
    <row r="274" spans="1:8" s="93" customFormat="1">
      <c r="A274" s="519"/>
      <c r="B274" s="380">
        <f>Data!A274</f>
        <v>3.42</v>
      </c>
      <c r="C274" s="382">
        <f>IF(constants!$O$2=1,Data!B274,-Data!B274)</f>
        <v>4.0832758224062582</v>
      </c>
      <c r="D274" s="382">
        <f>IF(constants!$O$3=1,Data!C274,-Data!C274)</f>
        <v>2.8755463538072239</v>
      </c>
      <c r="E274" s="382">
        <f>IF(constants!$O$4=1,Data!D274,-Data!D274)</f>
        <v>0</v>
      </c>
      <c r="F274" s="382">
        <f>IF(constants!$O$5=1,Data!E274,-Data!E274)</f>
        <v>0</v>
      </c>
      <c r="G274" s="382">
        <f>IF(constants!$O$6=1,Data!F274,-Data!F274)</f>
        <v>0</v>
      </c>
      <c r="H274" s="397">
        <f>IF(constants!$O$7=1,Data!G274,-Data!G274)</f>
        <v>0</v>
      </c>
    </row>
    <row r="275" spans="1:8" s="93" customFormat="1">
      <c r="A275" s="519"/>
      <c r="B275" s="380">
        <f>Data!A275</f>
        <v>3.44</v>
      </c>
      <c r="C275" s="382">
        <f>IF(constants!$O$2=1,Data!B275,-Data!B275)</f>
        <v>4.1407867494824027</v>
      </c>
      <c r="D275" s="382">
        <f>IF(constants!$O$3=1,Data!C275,-Data!C275)</f>
        <v>2.8755463538072239</v>
      </c>
      <c r="E275" s="382">
        <f>IF(constants!$O$4=1,Data!D275,-Data!D275)</f>
        <v>0</v>
      </c>
      <c r="F275" s="382">
        <f>IF(constants!$O$5=1,Data!E275,-Data!E275)</f>
        <v>0</v>
      </c>
      <c r="G275" s="382">
        <f>IF(constants!$O$6=1,Data!F275,-Data!F275)</f>
        <v>0</v>
      </c>
      <c r="H275" s="397">
        <f>IF(constants!$O$7=1,Data!G275,-Data!G275)</f>
        <v>0</v>
      </c>
    </row>
    <row r="276" spans="1:8" s="93" customFormat="1">
      <c r="A276" s="519"/>
      <c r="B276" s="380">
        <f>Data!A276</f>
        <v>3.46</v>
      </c>
      <c r="C276" s="382">
        <f>IF(constants!$O$2=1,Data!B276,-Data!B276)</f>
        <v>4.1982976765585471</v>
      </c>
      <c r="D276" s="382">
        <f>IF(constants!$O$3=1,Data!C276,-Data!C276)</f>
        <v>2.8755463538072239</v>
      </c>
      <c r="E276" s="382">
        <f>IF(constants!$O$4=1,Data!D276,-Data!D276)</f>
        <v>0</v>
      </c>
      <c r="F276" s="382">
        <f>IF(constants!$O$5=1,Data!E276,-Data!E276)</f>
        <v>0</v>
      </c>
      <c r="G276" s="382">
        <f>IF(constants!$O$6=1,Data!F276,-Data!F276)</f>
        <v>0</v>
      </c>
      <c r="H276" s="397">
        <f>IF(constants!$O$7=1,Data!G276,-Data!G276)</f>
        <v>0</v>
      </c>
    </row>
    <row r="277" spans="1:8" s="93" customFormat="1">
      <c r="A277" s="519"/>
      <c r="B277" s="380">
        <f>Data!A277</f>
        <v>3.48</v>
      </c>
      <c r="C277" s="382">
        <f>IF(constants!$O$2=1,Data!B277,-Data!B277)</f>
        <v>4.2558086036346916</v>
      </c>
      <c r="D277" s="382">
        <f>IF(constants!$O$3=1,Data!C277,-Data!C277)</f>
        <v>2.8755463538072239</v>
      </c>
      <c r="E277" s="382">
        <f>IF(constants!$O$4=1,Data!D277,-Data!D277)</f>
        <v>0</v>
      </c>
      <c r="F277" s="382">
        <f>IF(constants!$O$5=1,Data!E277,-Data!E277)</f>
        <v>0</v>
      </c>
      <c r="G277" s="382">
        <f>IF(constants!$O$6=1,Data!F277,-Data!F277)</f>
        <v>0</v>
      </c>
      <c r="H277" s="397">
        <f>IF(constants!$O$7=1,Data!G277,-Data!G277)</f>
        <v>0</v>
      </c>
    </row>
    <row r="278" spans="1:8" s="93" customFormat="1">
      <c r="A278" s="519"/>
      <c r="B278" s="380">
        <f>Data!A278</f>
        <v>3.5</v>
      </c>
      <c r="C278" s="382">
        <f>IF(constants!$O$2=1,Data!B278,-Data!B278)</f>
        <v>4.3133195307108361</v>
      </c>
      <c r="D278" s="382">
        <f>IF(constants!$O$3=1,Data!C278,-Data!C278)</f>
        <v>2.8755463538072239</v>
      </c>
      <c r="E278" s="382">
        <f>IF(constants!$O$4=1,Data!D278,-Data!D278)</f>
        <v>0</v>
      </c>
      <c r="F278" s="382">
        <f>IF(constants!$O$5=1,Data!E278,-Data!E278)</f>
        <v>0</v>
      </c>
      <c r="G278" s="382">
        <f>IF(constants!$O$6=1,Data!F278,-Data!F278)</f>
        <v>0</v>
      </c>
      <c r="H278" s="397">
        <f>IF(constants!$O$7=1,Data!G278,-Data!G278)</f>
        <v>0</v>
      </c>
    </row>
    <row r="279" spans="1:8" s="93" customFormat="1">
      <c r="A279" s="519"/>
      <c r="B279" s="380">
        <f>Data!A279</f>
        <v>3.52</v>
      </c>
      <c r="C279" s="382">
        <f>IF(constants!$O$2=1,Data!B279,-Data!B279)</f>
        <v>4.3708304577869805</v>
      </c>
      <c r="D279" s="382">
        <f>IF(constants!$O$3=1,Data!C279,-Data!C279)</f>
        <v>2.8755463538072239</v>
      </c>
      <c r="E279" s="382">
        <f>IF(constants!$O$4=1,Data!D279,-Data!D279)</f>
        <v>0</v>
      </c>
      <c r="F279" s="382">
        <f>IF(constants!$O$5=1,Data!E279,-Data!E279)</f>
        <v>0</v>
      </c>
      <c r="G279" s="382">
        <f>IF(constants!$O$6=1,Data!F279,-Data!F279)</f>
        <v>0</v>
      </c>
      <c r="H279" s="397">
        <f>IF(constants!$O$7=1,Data!G279,-Data!G279)</f>
        <v>0</v>
      </c>
    </row>
    <row r="280" spans="1:8" s="93" customFormat="1">
      <c r="A280" s="519"/>
      <c r="B280" s="380">
        <f>Data!A280</f>
        <v>3.54</v>
      </c>
      <c r="C280" s="382">
        <f>IF(constants!$O$2=1,Data!B280,-Data!B280)</f>
        <v>4.428341384863125</v>
      </c>
      <c r="D280" s="382">
        <f>IF(constants!$O$3=1,Data!C280,-Data!C280)</f>
        <v>2.8755463538072239</v>
      </c>
      <c r="E280" s="382">
        <f>IF(constants!$O$4=1,Data!D280,-Data!D280)</f>
        <v>0</v>
      </c>
      <c r="F280" s="382">
        <f>IF(constants!$O$5=1,Data!E280,-Data!E280)</f>
        <v>0</v>
      </c>
      <c r="G280" s="382">
        <f>IF(constants!$O$6=1,Data!F280,-Data!F280)</f>
        <v>0</v>
      </c>
      <c r="H280" s="397">
        <f>IF(constants!$O$7=1,Data!G280,-Data!G280)</f>
        <v>0</v>
      </c>
    </row>
    <row r="281" spans="1:8" s="93" customFormat="1">
      <c r="A281" s="519"/>
      <c r="B281" s="380">
        <f>Data!A281</f>
        <v>3.56</v>
      </c>
      <c r="C281" s="382">
        <f>IF(constants!$O$2=1,Data!B281,-Data!B281)</f>
        <v>4.4858523119392695</v>
      </c>
      <c r="D281" s="382">
        <f>IF(constants!$O$3=1,Data!C281,-Data!C281)</f>
        <v>2.8755463538072239</v>
      </c>
      <c r="E281" s="382">
        <f>IF(constants!$O$4=1,Data!D281,-Data!D281)</f>
        <v>0</v>
      </c>
      <c r="F281" s="382">
        <f>IF(constants!$O$5=1,Data!E281,-Data!E281)</f>
        <v>0</v>
      </c>
      <c r="G281" s="382">
        <f>IF(constants!$O$6=1,Data!F281,-Data!F281)</f>
        <v>0</v>
      </c>
      <c r="H281" s="397">
        <f>IF(constants!$O$7=1,Data!G281,-Data!G281)</f>
        <v>0</v>
      </c>
    </row>
    <row r="282" spans="1:8" s="93" customFormat="1">
      <c r="A282" s="519"/>
      <c r="B282" s="380">
        <f>Data!A282</f>
        <v>3.58</v>
      </c>
      <c r="C282" s="382">
        <f>IF(constants!$O$2=1,Data!B282,-Data!B282)</f>
        <v>4.5433632390154139</v>
      </c>
      <c r="D282" s="382">
        <f>IF(constants!$O$3=1,Data!C282,-Data!C282)</f>
        <v>2.8755463538072239</v>
      </c>
      <c r="E282" s="382">
        <f>IF(constants!$O$4=1,Data!D282,-Data!D282)</f>
        <v>0</v>
      </c>
      <c r="F282" s="382">
        <f>IF(constants!$O$5=1,Data!E282,-Data!E282)</f>
        <v>0</v>
      </c>
      <c r="G282" s="382">
        <f>IF(constants!$O$6=1,Data!F282,-Data!F282)</f>
        <v>0</v>
      </c>
      <c r="H282" s="397">
        <f>IF(constants!$O$7=1,Data!G282,-Data!G282)</f>
        <v>0</v>
      </c>
    </row>
    <row r="283" spans="1:8" s="93" customFormat="1">
      <c r="A283" s="519"/>
      <c r="B283" s="380">
        <f>Data!A283</f>
        <v>3.6</v>
      </c>
      <c r="C283" s="382">
        <f>IF(constants!$O$2=1,Data!B283,-Data!B283)</f>
        <v>4.6008741660915584</v>
      </c>
      <c r="D283" s="382">
        <f>IF(constants!$O$3=1,Data!C283,-Data!C283)</f>
        <v>2.8755463538072239</v>
      </c>
      <c r="E283" s="382">
        <f>IF(constants!$O$4=1,Data!D283,-Data!D283)</f>
        <v>0</v>
      </c>
      <c r="F283" s="382">
        <f>IF(constants!$O$5=1,Data!E283,-Data!E283)</f>
        <v>0</v>
      </c>
      <c r="G283" s="382">
        <f>IF(constants!$O$6=1,Data!F283,-Data!F283)</f>
        <v>0</v>
      </c>
      <c r="H283" s="397">
        <f>IF(constants!$O$7=1,Data!G283,-Data!G283)</f>
        <v>0</v>
      </c>
    </row>
    <row r="284" spans="1:8" s="93" customFormat="1">
      <c r="A284" s="519"/>
      <c r="B284" s="380">
        <f>Data!A284</f>
        <v>3.62</v>
      </c>
      <c r="C284" s="382">
        <f>IF(constants!$O$2=1,Data!B284,-Data!B284)</f>
        <v>4.6583850931677029</v>
      </c>
      <c r="D284" s="382">
        <f>IF(constants!$O$3=1,Data!C284,-Data!C284)</f>
        <v>2.8755463538072239</v>
      </c>
      <c r="E284" s="382">
        <f>IF(constants!$O$4=1,Data!D284,-Data!D284)</f>
        <v>0</v>
      </c>
      <c r="F284" s="382">
        <f>IF(constants!$O$5=1,Data!E284,-Data!E284)</f>
        <v>0</v>
      </c>
      <c r="G284" s="382">
        <f>IF(constants!$O$6=1,Data!F284,-Data!F284)</f>
        <v>0</v>
      </c>
      <c r="H284" s="397">
        <f>IF(constants!$O$7=1,Data!G284,-Data!G284)</f>
        <v>0</v>
      </c>
    </row>
    <row r="285" spans="1:8" s="93" customFormat="1">
      <c r="A285" s="519"/>
      <c r="B285" s="380">
        <f>Data!A285</f>
        <v>3.6399999999999997</v>
      </c>
      <c r="C285" s="382">
        <f>IF(constants!$O$2=1,Data!B285,-Data!B285)</f>
        <v>4.7158960202438456</v>
      </c>
      <c r="D285" s="382">
        <f>IF(constants!$O$3=1,Data!C285,-Data!C285)</f>
        <v>2.8755463538072239</v>
      </c>
      <c r="E285" s="382">
        <f>IF(constants!$O$4=1,Data!D285,-Data!D285)</f>
        <v>0</v>
      </c>
      <c r="F285" s="382">
        <f>IF(constants!$O$5=1,Data!E285,-Data!E285)</f>
        <v>0</v>
      </c>
      <c r="G285" s="382">
        <f>IF(constants!$O$6=1,Data!F285,-Data!F285)</f>
        <v>0</v>
      </c>
      <c r="H285" s="397">
        <f>IF(constants!$O$7=1,Data!G285,-Data!G285)</f>
        <v>0</v>
      </c>
    </row>
    <row r="286" spans="1:8" s="93" customFormat="1">
      <c r="A286" s="519"/>
      <c r="B286" s="380">
        <f>Data!A286</f>
        <v>3.66</v>
      </c>
      <c r="C286" s="382">
        <f>IF(constants!$O$2=1,Data!B286,-Data!B286)</f>
        <v>4.7734069473199918</v>
      </c>
      <c r="D286" s="382">
        <f>IF(constants!$O$3=1,Data!C286,-Data!C286)</f>
        <v>2.8755463538072239</v>
      </c>
      <c r="E286" s="382">
        <f>IF(constants!$O$4=1,Data!D286,-Data!D286)</f>
        <v>0</v>
      </c>
      <c r="F286" s="382">
        <f>IF(constants!$O$5=1,Data!E286,-Data!E286)</f>
        <v>0</v>
      </c>
      <c r="G286" s="382">
        <f>IF(constants!$O$6=1,Data!F286,-Data!F286)</f>
        <v>0</v>
      </c>
      <c r="H286" s="397">
        <f>IF(constants!$O$7=1,Data!G286,-Data!G286)</f>
        <v>0</v>
      </c>
    </row>
    <row r="287" spans="1:8" s="93" customFormat="1">
      <c r="A287" s="519"/>
      <c r="B287" s="380">
        <f>Data!A287</f>
        <v>3.6799999999999997</v>
      </c>
      <c r="C287" s="382">
        <f>IF(constants!$O$2=1,Data!B287,-Data!B287)</f>
        <v>4.8309178743961345</v>
      </c>
      <c r="D287" s="382">
        <f>IF(constants!$O$3=1,Data!C287,-Data!C287)</f>
        <v>2.8755463538072239</v>
      </c>
      <c r="E287" s="382">
        <f>IF(constants!$O$4=1,Data!D287,-Data!D287)</f>
        <v>0</v>
      </c>
      <c r="F287" s="382">
        <f>IF(constants!$O$5=1,Data!E287,-Data!E287)</f>
        <v>0</v>
      </c>
      <c r="G287" s="382">
        <f>IF(constants!$O$6=1,Data!F287,-Data!F287)</f>
        <v>0</v>
      </c>
      <c r="H287" s="397">
        <f>IF(constants!$O$7=1,Data!G287,-Data!G287)</f>
        <v>0</v>
      </c>
    </row>
    <row r="288" spans="1:8" s="93" customFormat="1">
      <c r="A288" s="519"/>
      <c r="B288" s="380">
        <f>Data!A288</f>
        <v>3.7</v>
      </c>
      <c r="C288" s="382">
        <f>IF(constants!$O$2=1,Data!B288,-Data!B288)</f>
        <v>4.8884288014722808</v>
      </c>
      <c r="D288" s="382">
        <f>IF(constants!$O$3=1,Data!C288,-Data!C288)</f>
        <v>2.8755463538072239</v>
      </c>
      <c r="E288" s="382">
        <f>IF(constants!$O$4=1,Data!D288,-Data!D288)</f>
        <v>0</v>
      </c>
      <c r="F288" s="382">
        <f>IF(constants!$O$5=1,Data!E288,-Data!E288)</f>
        <v>0</v>
      </c>
      <c r="G288" s="382">
        <f>IF(constants!$O$6=1,Data!F288,-Data!F288)</f>
        <v>0</v>
      </c>
      <c r="H288" s="397">
        <f>IF(constants!$O$7=1,Data!G288,-Data!G288)</f>
        <v>0</v>
      </c>
    </row>
    <row r="289" spans="1:8" s="93" customFormat="1">
      <c r="A289" s="519"/>
      <c r="B289" s="380">
        <f>Data!A289</f>
        <v>3.7199999999999998</v>
      </c>
      <c r="C289" s="382">
        <f>IF(constants!$O$2=1,Data!B289,-Data!B289)</f>
        <v>4.9459397285484252</v>
      </c>
      <c r="D289" s="382">
        <f>IF(constants!$O$3=1,Data!C289,-Data!C289)</f>
        <v>2.8755463538072239</v>
      </c>
      <c r="E289" s="382">
        <f>IF(constants!$O$4=1,Data!D289,-Data!D289)</f>
        <v>0</v>
      </c>
      <c r="F289" s="382">
        <f>IF(constants!$O$5=1,Data!E289,-Data!E289)</f>
        <v>0</v>
      </c>
      <c r="G289" s="382">
        <f>IF(constants!$O$6=1,Data!F289,-Data!F289)</f>
        <v>0</v>
      </c>
      <c r="H289" s="397">
        <f>IF(constants!$O$7=1,Data!G289,-Data!G289)</f>
        <v>0</v>
      </c>
    </row>
    <row r="290" spans="1:8" s="93" customFormat="1">
      <c r="A290" s="519"/>
      <c r="B290" s="380">
        <f>Data!A290</f>
        <v>3.74</v>
      </c>
      <c r="C290" s="382">
        <f>IF(constants!$O$2=1,Data!B290,-Data!B290)</f>
        <v>5.0034506556245697</v>
      </c>
      <c r="D290" s="382">
        <f>IF(constants!$O$3=1,Data!C290,-Data!C290)</f>
        <v>2.8755463538072239</v>
      </c>
      <c r="E290" s="382">
        <f>IF(constants!$O$4=1,Data!D290,-Data!D290)</f>
        <v>0</v>
      </c>
      <c r="F290" s="382">
        <f>IF(constants!$O$5=1,Data!E290,-Data!E290)</f>
        <v>0</v>
      </c>
      <c r="G290" s="382">
        <f>IF(constants!$O$6=1,Data!F290,-Data!F290)</f>
        <v>0</v>
      </c>
      <c r="H290" s="397">
        <f>IF(constants!$O$7=1,Data!G290,-Data!G290)</f>
        <v>0</v>
      </c>
    </row>
    <row r="291" spans="1:8" s="93" customFormat="1">
      <c r="A291" s="519"/>
      <c r="B291" s="380">
        <f>Data!A291</f>
        <v>3.76</v>
      </c>
      <c r="C291" s="382">
        <f>IF(constants!$O$2=1,Data!B291,-Data!B291)</f>
        <v>5.0609615827007142</v>
      </c>
      <c r="D291" s="382">
        <f>IF(constants!$O$3=1,Data!C291,-Data!C291)</f>
        <v>2.8755463538072239</v>
      </c>
      <c r="E291" s="382">
        <f>IF(constants!$O$4=1,Data!D291,-Data!D291)</f>
        <v>0</v>
      </c>
      <c r="F291" s="382">
        <f>IF(constants!$O$5=1,Data!E291,-Data!E291)</f>
        <v>0</v>
      </c>
      <c r="G291" s="382">
        <f>IF(constants!$O$6=1,Data!F291,-Data!F291)</f>
        <v>0</v>
      </c>
      <c r="H291" s="397">
        <f>IF(constants!$O$7=1,Data!G291,-Data!G291)</f>
        <v>0</v>
      </c>
    </row>
    <row r="292" spans="1:8" s="93" customFormat="1">
      <c r="A292" s="519"/>
      <c r="B292" s="380">
        <f>Data!A292</f>
        <v>3.7800000000000002</v>
      </c>
      <c r="C292" s="382">
        <f>IF(constants!$O$2=1,Data!B292,-Data!B292)</f>
        <v>5.1184725097768586</v>
      </c>
      <c r="D292" s="382">
        <f>IF(constants!$O$3=1,Data!C292,-Data!C292)</f>
        <v>2.8755463538072239</v>
      </c>
      <c r="E292" s="382">
        <f>IF(constants!$O$4=1,Data!D292,-Data!D292)</f>
        <v>0</v>
      </c>
      <c r="F292" s="382">
        <f>IF(constants!$O$5=1,Data!E292,-Data!E292)</f>
        <v>0</v>
      </c>
      <c r="G292" s="382">
        <f>IF(constants!$O$6=1,Data!F292,-Data!F292)</f>
        <v>0</v>
      </c>
      <c r="H292" s="397">
        <f>IF(constants!$O$7=1,Data!G292,-Data!G292)</f>
        <v>0</v>
      </c>
    </row>
    <row r="293" spans="1:8" s="93" customFormat="1">
      <c r="A293" s="519"/>
      <c r="B293" s="380">
        <f>Data!A293</f>
        <v>3.8</v>
      </c>
      <c r="C293" s="382">
        <f>IF(constants!$O$2=1,Data!B293,-Data!B293)</f>
        <v>5.1759834368530031</v>
      </c>
      <c r="D293" s="382">
        <f>IF(constants!$O$3=1,Data!C293,-Data!C293)</f>
        <v>2.8755463538072239</v>
      </c>
      <c r="E293" s="382">
        <f>IF(constants!$O$4=1,Data!D293,-Data!D293)</f>
        <v>0</v>
      </c>
      <c r="F293" s="382">
        <f>IF(constants!$O$5=1,Data!E293,-Data!E293)</f>
        <v>0</v>
      </c>
      <c r="G293" s="382">
        <f>IF(constants!$O$6=1,Data!F293,-Data!F293)</f>
        <v>0</v>
      </c>
      <c r="H293" s="397">
        <f>IF(constants!$O$7=1,Data!G293,-Data!G293)</f>
        <v>0</v>
      </c>
    </row>
    <row r="294" spans="1:8" s="93" customFormat="1">
      <c r="A294" s="519"/>
      <c r="B294" s="380">
        <f>Data!A294</f>
        <v>3.8200000000000003</v>
      </c>
      <c r="C294" s="382">
        <f>IF(constants!$O$2=1,Data!B294,-Data!B294)</f>
        <v>5.2334943639291476</v>
      </c>
      <c r="D294" s="382">
        <f>IF(constants!$O$3=1,Data!C294,-Data!C294)</f>
        <v>2.8755463538072239</v>
      </c>
      <c r="E294" s="382">
        <f>IF(constants!$O$4=1,Data!D294,-Data!D294)</f>
        <v>0</v>
      </c>
      <c r="F294" s="382">
        <f>IF(constants!$O$5=1,Data!E294,-Data!E294)</f>
        <v>0</v>
      </c>
      <c r="G294" s="382">
        <f>IF(constants!$O$6=1,Data!F294,-Data!F294)</f>
        <v>0</v>
      </c>
      <c r="H294" s="397">
        <f>IF(constants!$O$7=1,Data!G294,-Data!G294)</f>
        <v>0</v>
      </c>
    </row>
    <row r="295" spans="1:8" s="93" customFormat="1">
      <c r="A295" s="519"/>
      <c r="B295" s="380">
        <f>Data!A295</f>
        <v>3.84</v>
      </c>
      <c r="C295" s="382">
        <f>IF(constants!$O$2=1,Data!B295,-Data!B295)</f>
        <v>5.291005291005292</v>
      </c>
      <c r="D295" s="382">
        <f>IF(constants!$O$3=1,Data!C295,-Data!C295)</f>
        <v>2.8755463538072239</v>
      </c>
      <c r="E295" s="382">
        <f>IF(constants!$O$4=1,Data!D295,-Data!D295)</f>
        <v>0</v>
      </c>
      <c r="F295" s="382">
        <f>IF(constants!$O$5=1,Data!E295,-Data!E295)</f>
        <v>0</v>
      </c>
      <c r="G295" s="382">
        <f>IF(constants!$O$6=1,Data!F295,-Data!F295)</f>
        <v>0</v>
      </c>
      <c r="H295" s="397">
        <f>IF(constants!$O$7=1,Data!G295,-Data!G295)</f>
        <v>0</v>
      </c>
    </row>
    <row r="296" spans="1:8" s="93" customFormat="1">
      <c r="A296" s="519"/>
      <c r="B296" s="380">
        <f>Data!A296</f>
        <v>3.8600000000000003</v>
      </c>
      <c r="C296" s="382">
        <f>IF(constants!$O$2=1,Data!B296,-Data!B296)</f>
        <v>5.3485162180814365</v>
      </c>
      <c r="D296" s="382">
        <f>IF(constants!$O$3=1,Data!C296,-Data!C296)</f>
        <v>2.8755463538072239</v>
      </c>
      <c r="E296" s="382">
        <f>IF(constants!$O$4=1,Data!D296,-Data!D296)</f>
        <v>0</v>
      </c>
      <c r="F296" s="382">
        <f>IF(constants!$O$5=1,Data!E296,-Data!E296)</f>
        <v>0</v>
      </c>
      <c r="G296" s="382">
        <f>IF(constants!$O$6=1,Data!F296,-Data!F296)</f>
        <v>0</v>
      </c>
      <c r="H296" s="397">
        <f>IF(constants!$O$7=1,Data!G296,-Data!G296)</f>
        <v>0</v>
      </c>
    </row>
    <row r="297" spans="1:8" s="93" customFormat="1">
      <c r="A297" s="519"/>
      <c r="B297" s="380">
        <f>Data!A297</f>
        <v>3.88</v>
      </c>
      <c r="C297" s="382">
        <f>IF(constants!$O$2=1,Data!B297,-Data!B297)</f>
        <v>5.406027145157581</v>
      </c>
      <c r="D297" s="382">
        <f>IF(constants!$O$3=1,Data!C297,-Data!C297)</f>
        <v>2.8755463538072239</v>
      </c>
      <c r="E297" s="382">
        <f>IF(constants!$O$4=1,Data!D297,-Data!D297)</f>
        <v>0</v>
      </c>
      <c r="F297" s="382">
        <f>IF(constants!$O$5=1,Data!E297,-Data!E297)</f>
        <v>0</v>
      </c>
      <c r="G297" s="382">
        <f>IF(constants!$O$6=1,Data!F297,-Data!F297)</f>
        <v>0</v>
      </c>
      <c r="H297" s="397">
        <f>IF(constants!$O$7=1,Data!G297,-Data!G297)</f>
        <v>0</v>
      </c>
    </row>
    <row r="298" spans="1:8" s="93" customFormat="1">
      <c r="A298" s="519"/>
      <c r="B298" s="380">
        <f>Data!A298</f>
        <v>3.9</v>
      </c>
      <c r="C298" s="382">
        <f>IF(constants!$O$2=1,Data!B298,-Data!B298)</f>
        <v>5.4635380722337255</v>
      </c>
      <c r="D298" s="382">
        <f>IF(constants!$O$3=1,Data!C298,-Data!C298)</f>
        <v>2.8755463538072239</v>
      </c>
      <c r="E298" s="382">
        <f>IF(constants!$O$4=1,Data!D298,-Data!D298)</f>
        <v>0</v>
      </c>
      <c r="F298" s="382">
        <f>IF(constants!$O$5=1,Data!E298,-Data!E298)</f>
        <v>0</v>
      </c>
      <c r="G298" s="382">
        <f>IF(constants!$O$6=1,Data!F298,-Data!F298)</f>
        <v>0</v>
      </c>
      <c r="H298" s="397">
        <f>IF(constants!$O$7=1,Data!G298,-Data!G298)</f>
        <v>0</v>
      </c>
    </row>
    <row r="299" spans="1:8" s="93" customFormat="1">
      <c r="A299" s="519"/>
      <c r="B299" s="380">
        <f>Data!A299</f>
        <v>3.92</v>
      </c>
      <c r="C299" s="382">
        <f>IF(constants!$O$2=1,Data!B299,-Data!B299)</f>
        <v>5.5210489993098699</v>
      </c>
      <c r="D299" s="382">
        <f>IF(constants!$O$3=1,Data!C299,-Data!C299)</f>
        <v>2.8755463538072239</v>
      </c>
      <c r="E299" s="382">
        <f>IF(constants!$O$4=1,Data!D299,-Data!D299)</f>
        <v>0</v>
      </c>
      <c r="F299" s="382">
        <f>IF(constants!$O$5=1,Data!E299,-Data!E299)</f>
        <v>0</v>
      </c>
      <c r="G299" s="382">
        <f>IF(constants!$O$6=1,Data!F299,-Data!F299)</f>
        <v>0</v>
      </c>
      <c r="H299" s="397">
        <f>IF(constants!$O$7=1,Data!G299,-Data!G299)</f>
        <v>0</v>
      </c>
    </row>
    <row r="300" spans="1:8" s="93" customFormat="1">
      <c r="A300" s="519"/>
      <c r="B300" s="380">
        <f>Data!A300</f>
        <v>3.94</v>
      </c>
      <c r="C300" s="382">
        <f>IF(constants!$O$2=1,Data!B300,-Data!B300)</f>
        <v>5.5785599263860144</v>
      </c>
      <c r="D300" s="382">
        <f>IF(constants!$O$3=1,Data!C300,-Data!C300)</f>
        <v>2.8755463538072239</v>
      </c>
      <c r="E300" s="382">
        <f>IF(constants!$O$4=1,Data!D300,-Data!D300)</f>
        <v>0</v>
      </c>
      <c r="F300" s="382">
        <f>IF(constants!$O$5=1,Data!E300,-Data!E300)</f>
        <v>0</v>
      </c>
      <c r="G300" s="382">
        <f>IF(constants!$O$6=1,Data!F300,-Data!F300)</f>
        <v>0</v>
      </c>
      <c r="H300" s="397">
        <f>IF(constants!$O$7=1,Data!G300,-Data!G300)</f>
        <v>0</v>
      </c>
    </row>
    <row r="301" spans="1:8" s="93" customFormat="1">
      <c r="A301" s="519"/>
      <c r="B301" s="380">
        <f>Data!A301</f>
        <v>3.96</v>
      </c>
      <c r="C301" s="382">
        <f>IF(constants!$O$2=1,Data!B301,-Data!B301)</f>
        <v>5.6360708534621589</v>
      </c>
      <c r="D301" s="382">
        <f>IF(constants!$O$3=1,Data!C301,-Data!C301)</f>
        <v>2.8755463538072239</v>
      </c>
      <c r="E301" s="382">
        <f>IF(constants!$O$4=1,Data!D301,-Data!D301)</f>
        <v>0</v>
      </c>
      <c r="F301" s="382">
        <f>IF(constants!$O$5=1,Data!E301,-Data!E301)</f>
        <v>0</v>
      </c>
      <c r="G301" s="382">
        <f>IF(constants!$O$6=1,Data!F301,-Data!F301)</f>
        <v>0</v>
      </c>
      <c r="H301" s="397">
        <f>IF(constants!$O$7=1,Data!G301,-Data!G301)</f>
        <v>0</v>
      </c>
    </row>
    <row r="302" spans="1:8" s="93" customFormat="1">
      <c r="A302" s="519"/>
      <c r="B302" s="380">
        <f>Data!A302</f>
        <v>3.98</v>
      </c>
      <c r="C302" s="382">
        <f>IF(constants!$O$2=1,Data!B302,-Data!B302)</f>
        <v>5.6935817805383033</v>
      </c>
      <c r="D302" s="382">
        <f>IF(constants!$O$3=1,Data!C302,-Data!C302)</f>
        <v>2.8755463538072239</v>
      </c>
      <c r="E302" s="382">
        <f>IF(constants!$O$4=1,Data!D302,-Data!D302)</f>
        <v>0</v>
      </c>
      <c r="F302" s="382">
        <f>IF(constants!$O$5=1,Data!E302,-Data!E302)</f>
        <v>0</v>
      </c>
      <c r="G302" s="382">
        <f>IF(constants!$O$6=1,Data!F302,-Data!F302)</f>
        <v>0</v>
      </c>
      <c r="H302" s="397">
        <f>IF(constants!$O$7=1,Data!G302,-Data!G302)</f>
        <v>0</v>
      </c>
    </row>
    <row r="303" spans="1:8" s="93" customFormat="1" ht="15.75" thickBot="1">
      <c r="A303" s="520"/>
      <c r="B303" s="381">
        <f>Data!A303</f>
        <v>4</v>
      </c>
      <c r="C303" s="398">
        <f>IF(constants!$O$2=1,Data!B303,-Data!B303)</f>
        <v>5.7510927076144478</v>
      </c>
      <c r="D303" s="398">
        <f>IF(constants!$O$3=1,Data!C303,-Data!C303)</f>
        <v>2.8755463538072239</v>
      </c>
      <c r="E303" s="398">
        <f>IF(constants!$O$4=1,Data!D303,-Data!D303)</f>
        <v>0</v>
      </c>
      <c r="F303" s="398">
        <f>IF(constants!$O$5=1,Data!E303,-Data!E303)</f>
        <v>0</v>
      </c>
      <c r="G303" s="398">
        <f>IF(constants!$O$6=1,Data!F303,-Data!F303)</f>
        <v>0</v>
      </c>
      <c r="H303" s="399">
        <f>IF(constants!$O$7=1,Data!G303,-Data!G303)</f>
        <v>0</v>
      </c>
    </row>
    <row r="304" spans="1:8" s="93" customFormat="1">
      <c r="A304" s="235"/>
      <c r="B304" s="126"/>
      <c r="C304" s="126"/>
      <c r="D304" s="126"/>
      <c r="E304" s="126"/>
      <c r="F304" s="126"/>
      <c r="G304" s="126"/>
      <c r="H304" s="126"/>
    </row>
    <row r="305" spans="1:8" s="93" customFormat="1">
      <c r="A305" s="235"/>
      <c r="B305" s="126"/>
      <c r="C305" s="126"/>
      <c r="D305" s="126"/>
      <c r="E305" s="126"/>
      <c r="F305" s="126"/>
      <c r="G305" s="126"/>
      <c r="H305" s="126"/>
    </row>
    <row r="306" spans="1:8" s="93" customFormat="1">
      <c r="A306" s="235"/>
      <c r="B306" s="126"/>
      <c r="C306" s="126"/>
      <c r="D306" s="126"/>
      <c r="E306" s="126"/>
      <c r="F306" s="126"/>
      <c r="G306" s="126"/>
      <c r="H306" s="126"/>
    </row>
    <row r="307" spans="1:8" s="93" customFormat="1">
      <c r="A307" s="235"/>
      <c r="B307" s="126"/>
      <c r="C307" s="126"/>
      <c r="D307" s="126"/>
      <c r="E307" s="126"/>
      <c r="F307" s="126"/>
      <c r="G307" s="126"/>
      <c r="H307" s="126"/>
    </row>
    <row r="308" spans="1:8" s="93" customFormat="1">
      <c r="A308" s="235"/>
      <c r="B308" s="126"/>
      <c r="C308" s="126"/>
      <c r="D308" s="126"/>
      <c r="E308" s="126"/>
      <c r="F308" s="126"/>
      <c r="G308" s="126"/>
      <c r="H308" s="126"/>
    </row>
    <row r="309" spans="1:8" s="93" customFormat="1">
      <c r="A309" s="235"/>
      <c r="B309" s="126"/>
      <c r="C309" s="126"/>
      <c r="D309" s="126"/>
      <c r="E309" s="126"/>
      <c r="F309" s="126"/>
      <c r="G309" s="126"/>
      <c r="H309" s="126"/>
    </row>
    <row r="310" spans="1:8" s="93" customFormat="1">
      <c r="A310" s="235"/>
      <c r="B310" s="126"/>
      <c r="C310" s="126"/>
      <c r="D310" s="126"/>
      <c r="E310" s="126"/>
      <c r="F310" s="126"/>
      <c r="G310" s="126"/>
      <c r="H310" s="126"/>
    </row>
    <row r="311" spans="1:8" s="93" customFormat="1">
      <c r="A311" s="235"/>
      <c r="B311" s="126"/>
      <c r="C311" s="126"/>
      <c r="D311" s="126"/>
      <c r="E311" s="126"/>
      <c r="F311" s="126"/>
      <c r="G311" s="126"/>
      <c r="H311" s="126"/>
    </row>
    <row r="312" spans="1:8" s="93" customFormat="1">
      <c r="A312" s="235"/>
      <c r="B312" s="126"/>
      <c r="C312" s="126"/>
      <c r="D312" s="126"/>
      <c r="E312" s="126"/>
      <c r="F312" s="126"/>
      <c r="G312" s="126"/>
      <c r="H312" s="126"/>
    </row>
    <row r="313" spans="1:8" s="93" customFormat="1">
      <c r="A313" s="235"/>
      <c r="B313" s="126"/>
      <c r="C313" s="126"/>
      <c r="D313" s="126"/>
      <c r="E313" s="126"/>
      <c r="F313" s="126"/>
      <c r="G313" s="126"/>
      <c r="H313" s="126"/>
    </row>
    <row r="314" spans="1:8" s="93" customFormat="1">
      <c r="A314" s="235"/>
      <c r="B314" s="126"/>
      <c r="C314" s="126"/>
      <c r="D314" s="126"/>
      <c r="E314" s="126"/>
      <c r="F314" s="126"/>
      <c r="G314" s="126"/>
      <c r="H314" s="126"/>
    </row>
    <row r="315" spans="1:8" s="93" customFormat="1">
      <c r="A315" s="235"/>
      <c r="B315" s="126"/>
      <c r="C315" s="126"/>
      <c r="D315" s="126"/>
      <c r="E315" s="126"/>
      <c r="F315" s="126"/>
      <c r="G315" s="126"/>
      <c r="H315" s="126"/>
    </row>
    <row r="316" spans="1:8" s="93" customFormat="1">
      <c r="A316" s="235"/>
      <c r="B316" s="126"/>
      <c r="C316" s="126"/>
      <c r="D316" s="126"/>
      <c r="E316" s="126"/>
      <c r="F316" s="126"/>
      <c r="G316" s="126"/>
      <c r="H316" s="126"/>
    </row>
    <row r="317" spans="1:8" s="93" customFormat="1">
      <c r="A317" s="235"/>
      <c r="B317" s="126"/>
      <c r="C317" s="126"/>
      <c r="D317" s="126"/>
      <c r="E317" s="126"/>
      <c r="F317" s="126"/>
      <c r="G317" s="126"/>
      <c r="H317" s="126"/>
    </row>
    <row r="318" spans="1:8" s="93" customFormat="1">
      <c r="A318" s="235"/>
      <c r="B318" s="126"/>
      <c r="C318" s="126"/>
      <c r="D318" s="126"/>
      <c r="E318" s="126"/>
      <c r="F318" s="126"/>
      <c r="G318" s="126"/>
      <c r="H318" s="126"/>
    </row>
    <row r="319" spans="1:8" s="93" customFormat="1">
      <c r="A319" s="235"/>
      <c r="B319" s="126"/>
      <c r="C319" s="126"/>
      <c r="D319" s="126"/>
      <c r="E319" s="126"/>
      <c r="F319" s="126"/>
      <c r="G319" s="126"/>
      <c r="H319" s="126"/>
    </row>
    <row r="320" spans="1:8" s="93" customFormat="1">
      <c r="A320" s="235"/>
      <c r="B320" s="126"/>
      <c r="C320" s="126"/>
      <c r="D320" s="126"/>
      <c r="E320" s="126"/>
      <c r="F320" s="126"/>
      <c r="G320" s="126"/>
      <c r="H320" s="126"/>
    </row>
    <row r="321" spans="1:8" s="93" customFormat="1">
      <c r="A321" s="235"/>
      <c r="B321" s="126"/>
      <c r="C321" s="126"/>
      <c r="D321" s="126"/>
      <c r="E321" s="126"/>
      <c r="F321" s="126"/>
      <c r="G321" s="126"/>
      <c r="H321" s="126"/>
    </row>
    <row r="322" spans="1:8" s="93" customFormat="1">
      <c r="A322" s="235"/>
      <c r="B322" s="126"/>
      <c r="C322" s="126"/>
      <c r="D322" s="126"/>
      <c r="E322" s="126"/>
      <c r="F322" s="126"/>
      <c r="G322" s="126"/>
      <c r="H322" s="126"/>
    </row>
    <row r="323" spans="1:8" s="93" customFormat="1">
      <c r="A323" s="235"/>
      <c r="B323" s="126"/>
      <c r="C323" s="126"/>
      <c r="D323" s="126"/>
      <c r="E323" s="126"/>
      <c r="F323" s="126"/>
      <c r="G323" s="126"/>
      <c r="H323" s="126"/>
    </row>
    <row r="324" spans="1:8" s="93" customFormat="1">
      <c r="A324" s="235"/>
      <c r="B324" s="126"/>
      <c r="C324" s="126"/>
      <c r="D324" s="126"/>
      <c r="E324" s="126"/>
      <c r="F324" s="126"/>
      <c r="G324" s="126"/>
      <c r="H324" s="126"/>
    </row>
    <row r="325" spans="1:8" s="93" customFormat="1">
      <c r="A325" s="235"/>
      <c r="B325" s="126"/>
      <c r="C325" s="126"/>
      <c r="D325" s="126"/>
      <c r="E325" s="126"/>
      <c r="F325" s="126"/>
      <c r="G325" s="126"/>
      <c r="H325" s="126"/>
    </row>
    <row r="326" spans="1:8" s="93" customFormat="1">
      <c r="A326" s="235"/>
      <c r="B326" s="126"/>
      <c r="C326" s="126"/>
      <c r="D326" s="126"/>
      <c r="E326" s="126"/>
      <c r="F326" s="126"/>
      <c r="G326" s="126"/>
      <c r="H326" s="126"/>
    </row>
    <row r="327" spans="1:8" s="93" customFormat="1">
      <c r="A327" s="235"/>
      <c r="B327" s="126"/>
      <c r="C327" s="126"/>
      <c r="D327" s="126"/>
      <c r="E327" s="126"/>
      <c r="F327" s="126"/>
      <c r="G327" s="126"/>
      <c r="H327" s="126"/>
    </row>
    <row r="328" spans="1:8" s="93" customFormat="1">
      <c r="A328" s="235"/>
      <c r="B328" s="126"/>
      <c r="C328" s="126"/>
      <c r="D328" s="126"/>
      <c r="E328" s="126"/>
      <c r="F328" s="126"/>
      <c r="G328" s="126"/>
      <c r="H328" s="126"/>
    </row>
    <row r="329" spans="1:8" s="93" customFormat="1">
      <c r="A329" s="235"/>
      <c r="B329" s="126"/>
      <c r="C329" s="126"/>
      <c r="D329" s="126"/>
      <c r="E329" s="126"/>
      <c r="F329" s="126"/>
      <c r="G329" s="126"/>
      <c r="H329" s="126"/>
    </row>
    <row r="330" spans="1:8" s="93" customFormat="1">
      <c r="A330" s="235"/>
      <c r="B330" s="126"/>
      <c r="C330" s="126"/>
      <c r="D330" s="126"/>
      <c r="E330" s="126"/>
      <c r="F330" s="126"/>
      <c r="G330" s="126"/>
      <c r="H330" s="126"/>
    </row>
    <row r="331" spans="1:8" s="93" customFormat="1">
      <c r="A331" s="235"/>
      <c r="B331" s="126"/>
      <c r="C331" s="126"/>
      <c r="D331" s="126"/>
      <c r="E331" s="126"/>
      <c r="F331" s="126"/>
      <c r="G331" s="126"/>
      <c r="H331" s="126"/>
    </row>
    <row r="332" spans="1:8" s="93" customFormat="1">
      <c r="A332" s="235"/>
      <c r="B332" s="126"/>
      <c r="C332" s="126"/>
      <c r="D332" s="126"/>
      <c r="E332" s="126"/>
      <c r="F332" s="126"/>
      <c r="G332" s="126"/>
      <c r="H332" s="126"/>
    </row>
    <row r="333" spans="1:8" s="93" customFormat="1">
      <c r="A333" s="235"/>
      <c r="B333" s="126"/>
      <c r="C333" s="126"/>
      <c r="D333" s="126"/>
      <c r="E333" s="126"/>
      <c r="F333" s="126"/>
      <c r="G333" s="126"/>
      <c r="H333" s="126"/>
    </row>
    <row r="334" spans="1:8" s="93" customFormat="1">
      <c r="A334" s="235"/>
      <c r="B334" s="126"/>
      <c r="C334" s="126"/>
      <c r="D334" s="126"/>
      <c r="E334" s="126"/>
      <c r="F334" s="126"/>
      <c r="G334" s="126"/>
      <c r="H334" s="126"/>
    </row>
    <row r="335" spans="1:8" s="93" customFormat="1">
      <c r="A335" s="235"/>
      <c r="B335" s="126"/>
      <c r="C335" s="126"/>
      <c r="D335" s="126"/>
      <c r="E335" s="126"/>
      <c r="F335" s="126"/>
      <c r="G335" s="126"/>
      <c r="H335" s="126"/>
    </row>
    <row r="336" spans="1:8" s="93" customFormat="1">
      <c r="A336" s="235"/>
      <c r="B336" s="126"/>
      <c r="C336" s="126"/>
      <c r="D336" s="126"/>
      <c r="E336" s="126"/>
      <c r="F336" s="126"/>
      <c r="G336" s="126"/>
      <c r="H336" s="126"/>
    </row>
    <row r="337" spans="1:8" s="93" customFormat="1">
      <c r="A337" s="235"/>
      <c r="B337" s="126"/>
      <c r="C337" s="126"/>
      <c r="D337" s="126"/>
      <c r="E337" s="126"/>
      <c r="F337" s="126"/>
      <c r="G337" s="126"/>
      <c r="H337" s="126"/>
    </row>
    <row r="338" spans="1:8" s="93" customFormat="1">
      <c r="A338" s="235"/>
      <c r="B338" s="126"/>
      <c r="C338" s="126"/>
      <c r="D338" s="126"/>
      <c r="E338" s="126"/>
      <c r="F338" s="126"/>
      <c r="G338" s="126"/>
      <c r="H338" s="126"/>
    </row>
    <row r="339" spans="1:8" s="93" customFormat="1">
      <c r="A339" s="235"/>
      <c r="B339" s="126"/>
      <c r="C339" s="126"/>
      <c r="D339" s="126"/>
      <c r="E339" s="126"/>
      <c r="F339" s="126"/>
      <c r="G339" s="126"/>
      <c r="H339" s="126"/>
    </row>
    <row r="340" spans="1:8" s="93" customFormat="1">
      <c r="A340" s="235"/>
      <c r="B340" s="126"/>
      <c r="C340" s="126"/>
      <c r="D340" s="126"/>
      <c r="E340" s="126"/>
      <c r="F340" s="126"/>
      <c r="G340" s="126"/>
      <c r="H340" s="126"/>
    </row>
    <row r="341" spans="1:8" s="93" customFormat="1">
      <c r="A341" s="235"/>
      <c r="B341" s="126"/>
      <c r="C341" s="126"/>
      <c r="D341" s="126"/>
      <c r="E341" s="126"/>
      <c r="F341" s="126"/>
      <c r="G341" s="126"/>
      <c r="H341" s="126"/>
    </row>
    <row r="342" spans="1:8" s="93" customFormat="1">
      <c r="A342" s="235"/>
      <c r="B342" s="126"/>
      <c r="C342" s="126"/>
      <c r="D342" s="126"/>
      <c r="E342" s="126"/>
      <c r="F342" s="126"/>
      <c r="G342" s="126"/>
      <c r="H342" s="126"/>
    </row>
    <row r="343" spans="1:8" s="93" customFormat="1">
      <c r="A343" s="235"/>
      <c r="B343" s="126"/>
      <c r="C343" s="126"/>
      <c r="D343" s="126"/>
      <c r="E343" s="126"/>
      <c r="F343" s="126"/>
      <c r="G343" s="126"/>
      <c r="H343" s="126"/>
    </row>
    <row r="344" spans="1:8" s="93" customFormat="1">
      <c r="A344" s="235"/>
      <c r="B344" s="126"/>
      <c r="C344" s="126"/>
      <c r="D344" s="126"/>
      <c r="E344" s="126"/>
      <c r="F344" s="126"/>
      <c r="G344" s="126"/>
      <c r="H344" s="126"/>
    </row>
    <row r="345" spans="1:8" s="93" customFormat="1">
      <c r="A345" s="235"/>
      <c r="B345" s="126"/>
      <c r="C345" s="126"/>
      <c r="D345" s="126"/>
      <c r="E345" s="126"/>
      <c r="F345" s="126"/>
      <c r="G345" s="126"/>
      <c r="H345" s="126"/>
    </row>
    <row r="346" spans="1:8" s="93" customFormat="1">
      <c r="A346" s="235"/>
      <c r="B346" s="126"/>
      <c r="C346" s="126"/>
      <c r="D346" s="126"/>
      <c r="E346" s="126"/>
      <c r="F346" s="126"/>
      <c r="G346" s="126"/>
      <c r="H346" s="126"/>
    </row>
    <row r="347" spans="1:8" s="93" customFormat="1">
      <c r="A347" s="235"/>
      <c r="B347" s="126"/>
      <c r="C347" s="126"/>
      <c r="D347" s="126"/>
      <c r="E347" s="126"/>
      <c r="F347" s="126"/>
      <c r="G347" s="126"/>
      <c r="H347" s="126"/>
    </row>
    <row r="348" spans="1:8" s="93" customFormat="1">
      <c r="A348" s="235"/>
      <c r="B348" s="126"/>
      <c r="C348" s="126"/>
      <c r="D348" s="126"/>
      <c r="E348" s="126"/>
      <c r="F348" s="126"/>
      <c r="G348" s="126"/>
      <c r="H348" s="126"/>
    </row>
    <row r="349" spans="1:8" s="93" customFormat="1">
      <c r="A349" s="235"/>
      <c r="B349" s="126"/>
      <c r="C349" s="126"/>
      <c r="D349" s="126"/>
      <c r="E349" s="126"/>
      <c r="F349" s="126"/>
      <c r="G349" s="126"/>
      <c r="H349" s="126"/>
    </row>
    <row r="350" spans="1:8" s="93" customFormat="1">
      <c r="A350" s="235"/>
      <c r="B350" s="126"/>
      <c r="C350" s="126"/>
      <c r="D350" s="126"/>
      <c r="E350" s="126"/>
      <c r="F350" s="126"/>
      <c r="G350" s="126"/>
      <c r="H350" s="126"/>
    </row>
    <row r="351" spans="1:8" s="93" customFormat="1">
      <c r="A351" s="235"/>
      <c r="B351" s="126"/>
      <c r="C351" s="126"/>
      <c r="D351" s="126"/>
      <c r="E351" s="126"/>
      <c r="F351" s="126"/>
      <c r="G351" s="126"/>
      <c r="H351" s="126"/>
    </row>
    <row r="352" spans="1:8" s="93" customFormat="1">
      <c r="A352" s="235"/>
      <c r="B352" s="126"/>
      <c r="C352" s="126"/>
      <c r="D352" s="126"/>
      <c r="E352" s="126"/>
      <c r="F352" s="126"/>
      <c r="G352" s="126"/>
      <c r="H352" s="126"/>
    </row>
    <row r="353" spans="1:8" s="93" customFormat="1">
      <c r="A353" s="235"/>
      <c r="B353" s="126"/>
      <c r="C353" s="126"/>
      <c r="D353" s="126"/>
      <c r="E353" s="126"/>
      <c r="F353" s="126"/>
      <c r="G353" s="126"/>
      <c r="H353" s="126"/>
    </row>
    <row r="354" spans="1:8" s="93" customFormat="1">
      <c r="A354" s="235"/>
      <c r="B354" s="126"/>
      <c r="C354" s="126"/>
      <c r="D354" s="126"/>
      <c r="E354" s="126"/>
      <c r="F354" s="126"/>
      <c r="G354" s="126"/>
      <c r="H354" s="126"/>
    </row>
    <row r="355" spans="1:8" s="93" customFormat="1">
      <c r="A355" s="235"/>
      <c r="B355" s="126"/>
      <c r="C355" s="126"/>
      <c r="D355" s="126"/>
      <c r="E355" s="126"/>
      <c r="F355" s="126"/>
      <c r="G355" s="126"/>
      <c r="H355" s="126"/>
    </row>
    <row r="356" spans="1:8" s="93" customFormat="1">
      <c r="A356" s="235"/>
      <c r="B356" s="126"/>
      <c r="C356" s="126"/>
      <c r="D356" s="126"/>
      <c r="E356" s="126"/>
      <c r="F356" s="126"/>
      <c r="G356" s="126"/>
      <c r="H356" s="126"/>
    </row>
    <row r="357" spans="1:8" s="93" customFormat="1">
      <c r="A357" s="235"/>
      <c r="B357" s="126"/>
      <c r="C357" s="126"/>
      <c r="D357" s="126"/>
      <c r="E357" s="126"/>
      <c r="F357" s="126"/>
      <c r="G357" s="126"/>
      <c r="H357" s="126"/>
    </row>
    <row r="358" spans="1:8" s="93" customFormat="1">
      <c r="A358" s="235"/>
      <c r="B358" s="126"/>
      <c r="C358" s="126"/>
      <c r="D358" s="126"/>
      <c r="E358" s="126"/>
      <c r="F358" s="126"/>
      <c r="G358" s="126"/>
      <c r="H358" s="126"/>
    </row>
    <row r="359" spans="1:8" s="93" customFormat="1">
      <c r="A359" s="235"/>
      <c r="B359" s="126"/>
      <c r="C359" s="126"/>
      <c r="D359" s="126"/>
      <c r="E359" s="126"/>
      <c r="F359" s="126"/>
      <c r="G359" s="126"/>
      <c r="H359" s="126"/>
    </row>
    <row r="360" spans="1:8" s="93" customFormat="1">
      <c r="A360" s="235"/>
      <c r="B360" s="126"/>
      <c r="C360" s="126"/>
      <c r="D360" s="126"/>
      <c r="E360" s="126"/>
      <c r="F360" s="126"/>
      <c r="G360" s="126"/>
      <c r="H360" s="126"/>
    </row>
    <row r="361" spans="1:8" s="93" customFormat="1">
      <c r="A361" s="235"/>
      <c r="B361" s="126"/>
      <c r="C361" s="126"/>
      <c r="D361" s="126"/>
      <c r="E361" s="126"/>
      <c r="F361" s="126"/>
      <c r="G361" s="126"/>
      <c r="H361" s="126"/>
    </row>
    <row r="362" spans="1:8" s="93" customFormat="1">
      <c r="A362" s="235"/>
      <c r="B362" s="126"/>
      <c r="C362" s="126"/>
      <c r="D362" s="126"/>
      <c r="E362" s="126"/>
      <c r="F362" s="126"/>
      <c r="G362" s="126"/>
      <c r="H362" s="126"/>
    </row>
    <row r="363" spans="1:8" s="93" customFormat="1">
      <c r="A363" s="235"/>
      <c r="B363" s="126"/>
      <c r="C363" s="126"/>
      <c r="D363" s="126"/>
      <c r="E363" s="126"/>
      <c r="F363" s="126"/>
      <c r="G363" s="126"/>
      <c r="H363" s="126"/>
    </row>
    <row r="364" spans="1:8" s="93" customFormat="1">
      <c r="A364" s="235"/>
      <c r="B364" s="126"/>
      <c r="C364" s="126"/>
      <c r="D364" s="126"/>
      <c r="E364" s="126"/>
      <c r="F364" s="126"/>
      <c r="G364" s="126"/>
      <c r="H364" s="126"/>
    </row>
    <row r="365" spans="1:8" s="93" customFormat="1">
      <c r="A365" s="235"/>
      <c r="B365" s="126"/>
      <c r="C365" s="126"/>
      <c r="D365" s="126"/>
      <c r="E365" s="126"/>
      <c r="F365" s="126"/>
      <c r="G365" s="126"/>
      <c r="H365" s="126"/>
    </row>
    <row r="366" spans="1:8" s="93" customFormat="1">
      <c r="A366" s="235"/>
      <c r="B366" s="126"/>
      <c r="C366" s="126"/>
      <c r="D366" s="126"/>
      <c r="E366" s="126"/>
      <c r="F366" s="126"/>
      <c r="G366" s="126"/>
      <c r="H366" s="126"/>
    </row>
    <row r="367" spans="1:8" s="93" customFormat="1">
      <c r="A367" s="235"/>
      <c r="B367" s="126"/>
      <c r="C367" s="126"/>
      <c r="D367" s="126"/>
      <c r="E367" s="126"/>
      <c r="F367" s="126"/>
      <c r="G367" s="126"/>
      <c r="H367" s="126"/>
    </row>
    <row r="368" spans="1:8" s="93" customFormat="1">
      <c r="A368" s="235"/>
      <c r="B368" s="126"/>
      <c r="C368" s="126"/>
      <c r="D368" s="126"/>
      <c r="E368" s="126"/>
      <c r="F368" s="126"/>
      <c r="G368" s="126"/>
      <c r="H368" s="126"/>
    </row>
    <row r="369" spans="1:8" s="93" customFormat="1">
      <c r="A369" s="235"/>
      <c r="B369" s="126"/>
      <c r="C369" s="126"/>
      <c r="D369" s="126"/>
      <c r="E369" s="126"/>
      <c r="F369" s="126"/>
      <c r="G369" s="126"/>
      <c r="H369" s="126"/>
    </row>
    <row r="370" spans="1:8" s="93" customFormat="1">
      <c r="A370" s="235"/>
      <c r="B370" s="126"/>
      <c r="C370" s="126"/>
      <c r="D370" s="126"/>
      <c r="E370" s="126"/>
      <c r="F370" s="126"/>
      <c r="G370" s="126"/>
      <c r="H370" s="126"/>
    </row>
    <row r="371" spans="1:8" s="93" customFormat="1">
      <c r="A371" s="235"/>
      <c r="B371" s="126"/>
      <c r="C371" s="126"/>
      <c r="D371" s="126"/>
      <c r="E371" s="126"/>
      <c r="F371" s="126"/>
      <c r="G371" s="126"/>
      <c r="H371" s="126"/>
    </row>
    <row r="372" spans="1:8" s="93" customFormat="1">
      <c r="A372" s="235"/>
      <c r="B372" s="126"/>
      <c r="C372" s="126"/>
      <c r="D372" s="126"/>
      <c r="E372" s="126"/>
      <c r="F372" s="126"/>
      <c r="G372" s="126"/>
      <c r="H372" s="126"/>
    </row>
    <row r="373" spans="1:8" s="93" customFormat="1">
      <c r="A373" s="235"/>
      <c r="B373" s="126"/>
      <c r="C373" s="126"/>
      <c r="D373" s="126"/>
      <c r="E373" s="126"/>
      <c r="F373" s="126"/>
      <c r="G373" s="126"/>
      <c r="H373" s="126"/>
    </row>
    <row r="374" spans="1:8" s="93" customFormat="1">
      <c r="A374" s="235"/>
      <c r="B374" s="126"/>
      <c r="C374" s="126"/>
      <c r="D374" s="126"/>
      <c r="E374" s="126"/>
      <c r="F374" s="126"/>
      <c r="G374" s="126"/>
      <c r="H374" s="126"/>
    </row>
    <row r="375" spans="1:8" s="93" customFormat="1">
      <c r="A375" s="235"/>
      <c r="B375" s="126"/>
      <c r="C375" s="126"/>
      <c r="D375" s="126"/>
      <c r="E375" s="126"/>
      <c r="F375" s="126"/>
      <c r="G375" s="126"/>
      <c r="H375" s="126"/>
    </row>
    <row r="376" spans="1:8" s="93" customFormat="1">
      <c r="A376" s="235"/>
      <c r="B376" s="126"/>
      <c r="C376" s="126"/>
      <c r="D376" s="126"/>
      <c r="E376" s="126"/>
      <c r="F376" s="126"/>
      <c r="G376" s="126"/>
      <c r="H376" s="126"/>
    </row>
    <row r="377" spans="1:8" s="93" customFormat="1">
      <c r="A377" s="235"/>
      <c r="B377" s="126"/>
      <c r="C377" s="126"/>
      <c r="D377" s="126"/>
      <c r="E377" s="126"/>
      <c r="F377" s="126"/>
      <c r="G377" s="126"/>
      <c r="H377" s="126"/>
    </row>
    <row r="378" spans="1:8" s="93" customFormat="1">
      <c r="A378" s="235"/>
      <c r="B378" s="126"/>
      <c r="C378" s="126"/>
      <c r="D378" s="126"/>
      <c r="E378" s="126"/>
      <c r="F378" s="126"/>
      <c r="G378" s="126"/>
      <c r="H378" s="126"/>
    </row>
    <row r="379" spans="1:8" s="93" customFormat="1">
      <c r="A379" s="235"/>
      <c r="B379" s="126"/>
      <c r="C379" s="126"/>
      <c r="D379" s="126"/>
      <c r="E379" s="126"/>
      <c r="F379" s="126"/>
      <c r="G379" s="126"/>
      <c r="H379" s="126"/>
    </row>
    <row r="380" spans="1:8" s="93" customFormat="1">
      <c r="A380" s="235"/>
      <c r="B380" s="126"/>
      <c r="C380" s="126"/>
      <c r="D380" s="126"/>
      <c r="E380" s="126"/>
      <c r="F380" s="126"/>
      <c r="G380" s="126"/>
      <c r="H380" s="126"/>
    </row>
    <row r="381" spans="1:8" s="93" customFormat="1">
      <c r="A381" s="235"/>
      <c r="B381" s="126"/>
      <c r="C381" s="126"/>
      <c r="D381" s="126"/>
      <c r="E381" s="126"/>
      <c r="F381" s="126"/>
      <c r="G381" s="126"/>
      <c r="H381" s="126"/>
    </row>
    <row r="382" spans="1:8" s="93" customFormat="1">
      <c r="A382" s="235"/>
      <c r="B382" s="126"/>
      <c r="C382" s="126"/>
      <c r="D382" s="126"/>
      <c r="E382" s="126"/>
      <c r="F382" s="126"/>
      <c r="G382" s="126"/>
      <c r="H382" s="126"/>
    </row>
    <row r="383" spans="1:8" s="93" customFormat="1">
      <c r="A383" s="235"/>
      <c r="B383" s="126"/>
      <c r="C383" s="126"/>
      <c r="D383" s="126"/>
      <c r="E383" s="126"/>
      <c r="F383" s="126"/>
      <c r="G383" s="126"/>
      <c r="H383" s="126"/>
    </row>
    <row r="384" spans="1:8" s="93" customFormat="1">
      <c r="A384" s="235"/>
      <c r="B384" s="126"/>
      <c r="C384" s="126"/>
      <c r="D384" s="126"/>
      <c r="E384" s="126"/>
      <c r="F384" s="126"/>
      <c r="G384" s="126"/>
      <c r="H384" s="126"/>
    </row>
    <row r="385" spans="1:8" s="93" customFormat="1">
      <c r="A385" s="235"/>
      <c r="B385" s="126"/>
      <c r="C385" s="126"/>
      <c r="D385" s="126"/>
      <c r="E385" s="126"/>
      <c r="F385" s="126"/>
      <c r="G385" s="126"/>
      <c r="H385" s="126"/>
    </row>
    <row r="386" spans="1:8" s="93" customFormat="1">
      <c r="A386" s="235"/>
      <c r="B386" s="126"/>
      <c r="C386" s="126"/>
      <c r="D386" s="126"/>
      <c r="E386" s="126"/>
      <c r="F386" s="126"/>
      <c r="G386" s="126"/>
      <c r="H386" s="126"/>
    </row>
    <row r="387" spans="1:8" s="93" customFormat="1">
      <c r="A387" s="235"/>
      <c r="B387" s="126"/>
      <c r="C387" s="126"/>
      <c r="D387" s="126"/>
      <c r="E387" s="126"/>
      <c r="F387" s="126"/>
      <c r="G387" s="126"/>
      <c r="H387" s="126"/>
    </row>
    <row r="388" spans="1:8" s="93" customFormat="1">
      <c r="A388" s="235"/>
      <c r="B388" s="126"/>
      <c r="C388" s="126"/>
      <c r="D388" s="126"/>
      <c r="E388" s="126"/>
      <c r="F388" s="126"/>
      <c r="G388" s="126"/>
      <c r="H388" s="126"/>
    </row>
    <row r="389" spans="1:8" s="93" customFormat="1">
      <c r="A389" s="235"/>
      <c r="B389" s="126"/>
      <c r="C389" s="126"/>
      <c r="D389" s="126"/>
      <c r="E389" s="126"/>
      <c r="F389" s="126"/>
      <c r="G389" s="126"/>
      <c r="H389" s="126"/>
    </row>
    <row r="390" spans="1:8" s="93" customFormat="1">
      <c r="A390" s="235"/>
      <c r="B390" s="126"/>
      <c r="C390" s="126"/>
      <c r="D390" s="126"/>
      <c r="E390" s="126"/>
      <c r="F390" s="126"/>
      <c r="G390" s="126"/>
      <c r="H390" s="126"/>
    </row>
    <row r="391" spans="1:8" s="93" customFormat="1">
      <c r="A391" s="235"/>
      <c r="B391" s="126"/>
      <c r="C391" s="126"/>
      <c r="D391" s="126"/>
      <c r="E391" s="126"/>
      <c r="F391" s="126"/>
      <c r="G391" s="126"/>
      <c r="H391" s="126"/>
    </row>
    <row r="392" spans="1:8" s="93" customFormat="1">
      <c r="A392" s="235"/>
      <c r="B392" s="126"/>
      <c r="C392" s="126"/>
      <c r="D392" s="126"/>
      <c r="E392" s="126"/>
      <c r="F392" s="126"/>
      <c r="G392" s="126"/>
      <c r="H392" s="126"/>
    </row>
    <row r="393" spans="1:8" s="93" customFormat="1">
      <c r="A393" s="235"/>
      <c r="B393" s="126"/>
      <c r="C393" s="126"/>
      <c r="D393" s="126"/>
      <c r="E393" s="126"/>
      <c r="F393" s="126"/>
      <c r="G393" s="126"/>
      <c r="H393" s="126"/>
    </row>
    <row r="394" spans="1:8" s="93" customFormat="1">
      <c r="A394" s="235"/>
      <c r="B394" s="126"/>
      <c r="C394" s="126"/>
      <c r="D394" s="126"/>
      <c r="E394" s="126"/>
      <c r="F394" s="126"/>
      <c r="G394" s="126"/>
      <c r="H394" s="126"/>
    </row>
    <row r="395" spans="1:8" s="93" customFormat="1">
      <c r="A395" s="235"/>
      <c r="B395" s="126"/>
      <c r="C395" s="126"/>
      <c r="D395" s="126"/>
      <c r="E395" s="126"/>
      <c r="F395" s="126"/>
      <c r="G395" s="126"/>
      <c r="H395" s="126"/>
    </row>
    <row r="396" spans="1:8" s="93" customFormat="1">
      <c r="A396" s="235"/>
      <c r="B396" s="126"/>
      <c r="C396" s="126"/>
      <c r="D396" s="126"/>
      <c r="E396" s="126"/>
      <c r="F396" s="126"/>
      <c r="G396" s="126"/>
      <c r="H396" s="126"/>
    </row>
    <row r="397" spans="1:8" s="93" customFormat="1">
      <c r="A397" s="235"/>
      <c r="B397" s="126"/>
      <c r="C397" s="126"/>
      <c r="D397" s="126"/>
      <c r="E397" s="126"/>
      <c r="F397" s="126"/>
      <c r="G397" s="126"/>
      <c r="H397" s="126"/>
    </row>
    <row r="398" spans="1:8" s="93" customFormat="1">
      <c r="A398" s="235"/>
      <c r="B398" s="126"/>
      <c r="C398" s="126"/>
      <c r="D398" s="126"/>
      <c r="E398" s="126"/>
      <c r="F398" s="126"/>
      <c r="G398" s="126"/>
      <c r="H398" s="126"/>
    </row>
    <row r="399" spans="1:8" s="93" customFormat="1">
      <c r="A399" s="235"/>
      <c r="B399" s="126"/>
      <c r="C399" s="126"/>
      <c r="D399" s="126"/>
      <c r="E399" s="126"/>
      <c r="F399" s="126"/>
      <c r="G399" s="126"/>
      <c r="H399" s="126"/>
    </row>
    <row r="400" spans="1:8" s="93" customFormat="1">
      <c r="A400" s="235"/>
      <c r="B400" s="126"/>
      <c r="C400" s="126"/>
      <c r="D400" s="126"/>
      <c r="E400" s="126"/>
      <c r="F400" s="126"/>
      <c r="G400" s="126"/>
      <c r="H400" s="126"/>
    </row>
    <row r="401" spans="1:8" s="93" customFormat="1">
      <c r="A401" s="235"/>
      <c r="B401" s="126"/>
      <c r="C401" s="126"/>
      <c r="D401" s="126"/>
      <c r="E401" s="126"/>
      <c r="F401" s="126"/>
      <c r="G401" s="126"/>
      <c r="H401" s="126"/>
    </row>
    <row r="402" spans="1:8" s="93" customFormat="1">
      <c r="A402" s="235"/>
      <c r="B402" s="126"/>
      <c r="C402" s="126"/>
      <c r="D402" s="126"/>
      <c r="E402" s="126"/>
      <c r="F402" s="126"/>
      <c r="G402" s="126"/>
      <c r="H402" s="126"/>
    </row>
    <row r="403" spans="1:8" s="93" customFormat="1">
      <c r="A403" s="235"/>
      <c r="B403" s="126"/>
      <c r="C403" s="126"/>
      <c r="D403" s="126"/>
      <c r="E403" s="126"/>
      <c r="F403" s="126"/>
      <c r="G403" s="126"/>
      <c r="H403" s="126"/>
    </row>
    <row r="404" spans="1:8" s="93" customFormat="1">
      <c r="A404" s="235"/>
      <c r="B404" s="126"/>
      <c r="C404" s="126"/>
      <c r="D404" s="126"/>
      <c r="E404" s="126"/>
      <c r="F404" s="126"/>
      <c r="G404" s="126"/>
      <c r="H404" s="126"/>
    </row>
    <row r="405" spans="1:8" s="93" customFormat="1">
      <c r="A405" s="235"/>
      <c r="B405" s="126"/>
      <c r="C405" s="126"/>
      <c r="D405" s="126"/>
      <c r="E405" s="126"/>
      <c r="F405" s="126"/>
      <c r="G405" s="126"/>
      <c r="H405" s="126"/>
    </row>
    <row r="406" spans="1:8" s="93" customFormat="1">
      <c r="A406" s="235"/>
      <c r="B406" s="126"/>
      <c r="C406" s="126"/>
      <c r="D406" s="126"/>
      <c r="E406" s="126"/>
      <c r="F406" s="126"/>
      <c r="G406" s="126"/>
      <c r="H406" s="126"/>
    </row>
    <row r="407" spans="1:8" s="93" customFormat="1">
      <c r="A407" s="235"/>
      <c r="B407" s="126"/>
      <c r="C407" s="126"/>
      <c r="D407" s="126"/>
      <c r="E407" s="126"/>
      <c r="F407" s="126"/>
      <c r="G407" s="126"/>
      <c r="H407" s="126"/>
    </row>
    <row r="408" spans="1:8" s="93" customFormat="1">
      <c r="A408" s="235"/>
      <c r="B408" s="126"/>
      <c r="C408" s="126"/>
      <c r="D408" s="126"/>
      <c r="E408" s="126"/>
      <c r="F408" s="126"/>
      <c r="G408" s="126"/>
      <c r="H408" s="126"/>
    </row>
    <row r="409" spans="1:8" s="93" customFormat="1">
      <c r="A409" s="235"/>
      <c r="B409" s="126"/>
      <c r="C409" s="126"/>
      <c r="D409" s="126"/>
      <c r="E409" s="126"/>
      <c r="F409" s="126"/>
      <c r="G409" s="126"/>
      <c r="H409" s="126"/>
    </row>
    <row r="410" spans="1:8" s="93" customFormat="1">
      <c r="A410" s="235"/>
      <c r="B410" s="126"/>
      <c r="C410" s="126"/>
      <c r="D410" s="126"/>
      <c r="E410" s="126"/>
      <c r="F410" s="126"/>
      <c r="G410" s="126"/>
      <c r="H410" s="126"/>
    </row>
    <row r="411" spans="1:8" s="93" customFormat="1">
      <c r="A411" s="235"/>
      <c r="B411" s="126"/>
      <c r="C411" s="126"/>
      <c r="D411" s="126"/>
      <c r="E411" s="126"/>
      <c r="F411" s="126"/>
      <c r="G411" s="126"/>
      <c r="H411" s="126"/>
    </row>
    <row r="412" spans="1:8" s="93" customFormat="1">
      <c r="A412" s="235"/>
      <c r="B412" s="126"/>
      <c r="C412" s="126"/>
      <c r="D412" s="126"/>
      <c r="E412" s="126"/>
      <c r="F412" s="126"/>
      <c r="G412" s="126"/>
      <c r="H412" s="126"/>
    </row>
    <row r="413" spans="1:8" s="93" customFormat="1">
      <c r="A413" s="235"/>
      <c r="B413" s="126"/>
      <c r="C413" s="126"/>
      <c r="D413" s="126"/>
      <c r="E413" s="126"/>
      <c r="F413" s="126"/>
      <c r="G413" s="126"/>
      <c r="H413" s="126"/>
    </row>
    <row r="414" spans="1:8" s="93" customFormat="1">
      <c r="A414" s="235"/>
      <c r="B414" s="126"/>
      <c r="C414" s="126"/>
      <c r="D414" s="126"/>
      <c r="E414" s="126"/>
      <c r="F414" s="126"/>
      <c r="G414" s="126"/>
      <c r="H414" s="126"/>
    </row>
    <row r="415" spans="1:8" s="93" customFormat="1">
      <c r="A415" s="235"/>
      <c r="B415" s="126"/>
      <c r="C415" s="126"/>
      <c r="D415" s="126"/>
      <c r="E415" s="126"/>
      <c r="F415" s="126"/>
      <c r="G415" s="126"/>
      <c r="H415" s="126"/>
    </row>
    <row r="416" spans="1:8" s="93" customFormat="1">
      <c r="A416" s="235"/>
      <c r="B416" s="126"/>
      <c r="C416" s="126"/>
      <c r="D416" s="126"/>
      <c r="E416" s="126"/>
      <c r="F416" s="126"/>
      <c r="G416" s="126"/>
      <c r="H416" s="126"/>
    </row>
    <row r="417" spans="1:8" s="93" customFormat="1">
      <c r="A417" s="235"/>
      <c r="B417" s="126"/>
      <c r="C417" s="126"/>
      <c r="D417" s="126"/>
      <c r="E417" s="126"/>
      <c r="F417" s="126"/>
      <c r="G417" s="126"/>
      <c r="H417" s="126"/>
    </row>
    <row r="418" spans="1:8" s="93" customFormat="1">
      <c r="A418" s="235"/>
      <c r="B418" s="126"/>
      <c r="C418" s="126"/>
      <c r="D418" s="126"/>
      <c r="E418" s="126"/>
      <c r="F418" s="126"/>
      <c r="G418" s="126"/>
      <c r="H418" s="126"/>
    </row>
    <row r="419" spans="1:8" s="93" customFormat="1">
      <c r="A419" s="235"/>
      <c r="B419" s="126"/>
      <c r="C419" s="126"/>
      <c r="D419" s="126"/>
      <c r="E419" s="126"/>
      <c r="F419" s="126"/>
      <c r="G419" s="126"/>
      <c r="H419" s="126"/>
    </row>
    <row r="420" spans="1:8" s="93" customFormat="1">
      <c r="A420" s="235"/>
      <c r="B420" s="126"/>
      <c r="C420" s="126"/>
      <c r="D420" s="126"/>
      <c r="E420" s="126"/>
      <c r="F420" s="126"/>
      <c r="G420" s="126"/>
      <c r="H420" s="126"/>
    </row>
    <row r="421" spans="1:8" s="93" customFormat="1">
      <c r="A421" s="235"/>
      <c r="B421" s="126"/>
      <c r="C421" s="126"/>
      <c r="D421" s="126"/>
      <c r="E421" s="126"/>
      <c r="F421" s="126"/>
      <c r="G421" s="126"/>
      <c r="H421" s="126"/>
    </row>
    <row r="422" spans="1:8" s="93" customFormat="1">
      <c r="A422" s="235"/>
      <c r="B422" s="126"/>
      <c r="C422" s="126"/>
      <c r="D422" s="126"/>
      <c r="E422" s="126"/>
      <c r="F422" s="126"/>
      <c r="G422" s="126"/>
      <c r="H422" s="126"/>
    </row>
    <row r="423" spans="1:8" s="93" customFormat="1">
      <c r="A423" s="235"/>
      <c r="B423" s="126"/>
      <c r="C423" s="126"/>
      <c r="D423" s="126"/>
      <c r="E423" s="126"/>
      <c r="F423" s="126"/>
      <c r="G423" s="126"/>
      <c r="H423" s="126"/>
    </row>
    <row r="424" spans="1:8" s="93" customFormat="1">
      <c r="A424" s="235"/>
      <c r="B424" s="126"/>
      <c r="C424" s="126"/>
      <c r="D424" s="126"/>
      <c r="E424" s="126"/>
      <c r="F424" s="126"/>
      <c r="G424" s="126"/>
      <c r="H424" s="126"/>
    </row>
    <row r="425" spans="1:8" s="93" customFormat="1">
      <c r="A425" s="235"/>
      <c r="B425" s="126"/>
      <c r="C425" s="126"/>
      <c r="D425" s="126"/>
      <c r="E425" s="126"/>
      <c r="F425" s="126"/>
      <c r="G425" s="126"/>
      <c r="H425" s="126"/>
    </row>
    <row r="426" spans="1:8" s="93" customFormat="1">
      <c r="A426" s="235"/>
      <c r="B426" s="126"/>
      <c r="C426" s="126"/>
      <c r="D426" s="126"/>
      <c r="E426" s="126"/>
      <c r="F426" s="126"/>
      <c r="G426" s="126"/>
      <c r="H426" s="126"/>
    </row>
    <row r="427" spans="1:8" s="93" customFormat="1">
      <c r="A427" s="235"/>
      <c r="B427" s="126"/>
      <c r="C427" s="126"/>
      <c r="D427" s="126"/>
      <c r="E427" s="126"/>
      <c r="F427" s="126"/>
      <c r="G427" s="126"/>
      <c r="H427" s="126"/>
    </row>
    <row r="428" spans="1:8" s="93" customFormat="1">
      <c r="A428" s="235"/>
      <c r="B428" s="126"/>
      <c r="C428" s="126"/>
      <c r="D428" s="126"/>
      <c r="E428" s="126"/>
      <c r="F428" s="126"/>
      <c r="G428" s="126"/>
      <c r="H428" s="126"/>
    </row>
    <row r="429" spans="1:8" s="93" customFormat="1">
      <c r="A429" s="235"/>
      <c r="B429" s="126"/>
      <c r="C429" s="126"/>
      <c r="D429" s="126"/>
      <c r="E429" s="126"/>
      <c r="F429" s="126"/>
      <c r="G429" s="126"/>
      <c r="H429" s="126"/>
    </row>
    <row r="430" spans="1:8" s="93" customFormat="1">
      <c r="A430" s="235"/>
      <c r="B430" s="126"/>
      <c r="C430" s="126"/>
      <c r="D430" s="126"/>
      <c r="E430" s="126"/>
      <c r="F430" s="126"/>
      <c r="G430" s="126"/>
      <c r="H430" s="126"/>
    </row>
    <row r="431" spans="1:8" s="93" customFormat="1">
      <c r="A431" s="235"/>
      <c r="B431" s="126"/>
      <c r="C431" s="126"/>
      <c r="D431" s="126"/>
      <c r="E431" s="126"/>
      <c r="F431" s="126"/>
      <c r="G431" s="126"/>
      <c r="H431" s="126"/>
    </row>
    <row r="432" spans="1:8" s="93" customFormat="1">
      <c r="A432" s="235"/>
      <c r="B432" s="126"/>
      <c r="C432" s="126"/>
      <c r="D432" s="126"/>
      <c r="E432" s="126"/>
      <c r="F432" s="126"/>
      <c r="G432" s="126"/>
      <c r="H432" s="126"/>
    </row>
    <row r="433" spans="1:8" s="93" customFormat="1">
      <c r="A433" s="235"/>
      <c r="B433" s="126"/>
      <c r="C433" s="126"/>
      <c r="D433" s="126"/>
      <c r="E433" s="126"/>
      <c r="F433" s="126"/>
      <c r="G433" s="126"/>
      <c r="H433" s="126"/>
    </row>
    <row r="434" spans="1:8" s="93" customFormat="1">
      <c r="A434" s="235"/>
      <c r="B434" s="126"/>
      <c r="C434" s="126"/>
      <c r="D434" s="126"/>
      <c r="E434" s="126"/>
      <c r="F434" s="126"/>
      <c r="G434" s="126"/>
      <c r="H434" s="126"/>
    </row>
    <row r="435" spans="1:8" s="93" customFormat="1">
      <c r="A435" s="235"/>
      <c r="B435" s="126"/>
      <c r="C435" s="126"/>
      <c r="D435" s="126"/>
      <c r="E435" s="126"/>
      <c r="F435" s="126"/>
      <c r="G435" s="126"/>
      <c r="H435" s="126"/>
    </row>
    <row r="436" spans="1:8" s="93" customFormat="1">
      <c r="A436" s="235"/>
      <c r="B436" s="126"/>
      <c r="C436" s="126"/>
      <c r="D436" s="126"/>
      <c r="E436" s="126"/>
      <c r="F436" s="126"/>
      <c r="G436" s="126"/>
      <c r="H436" s="126"/>
    </row>
    <row r="437" spans="1:8" s="93" customFormat="1">
      <c r="A437" s="235"/>
      <c r="B437" s="126"/>
      <c r="C437" s="126"/>
      <c r="D437" s="126"/>
      <c r="E437" s="126"/>
      <c r="F437" s="126"/>
      <c r="G437" s="126"/>
      <c r="H437" s="126"/>
    </row>
    <row r="438" spans="1:8" s="93" customFormat="1">
      <c r="A438" s="235"/>
      <c r="B438" s="126"/>
      <c r="C438" s="126"/>
      <c r="D438" s="126"/>
      <c r="E438" s="126"/>
      <c r="F438" s="126"/>
      <c r="G438" s="126"/>
      <c r="H438" s="126"/>
    </row>
    <row r="439" spans="1:8" s="93" customFormat="1">
      <c r="A439" s="235"/>
      <c r="B439" s="126"/>
      <c r="C439" s="126"/>
      <c r="D439" s="126"/>
      <c r="E439" s="126"/>
      <c r="F439" s="126"/>
      <c r="G439" s="126"/>
      <c r="H439" s="126"/>
    </row>
    <row r="440" spans="1:8" s="93" customFormat="1">
      <c r="A440" s="235"/>
      <c r="B440" s="126"/>
      <c r="C440" s="126"/>
      <c r="D440" s="126"/>
      <c r="E440" s="126"/>
      <c r="F440" s="126"/>
      <c r="G440" s="126"/>
      <c r="H440" s="126"/>
    </row>
    <row r="441" spans="1:8" s="93" customFormat="1">
      <c r="A441" s="235"/>
      <c r="B441" s="126"/>
      <c r="C441" s="126"/>
      <c r="D441" s="126"/>
      <c r="E441" s="126"/>
      <c r="F441" s="126"/>
      <c r="G441" s="126"/>
      <c r="H441" s="126"/>
    </row>
    <row r="442" spans="1:8" s="93" customFormat="1">
      <c r="A442" s="235"/>
      <c r="B442" s="126"/>
      <c r="C442" s="126"/>
      <c r="D442" s="126"/>
      <c r="E442" s="126"/>
      <c r="F442" s="126"/>
      <c r="G442" s="126"/>
      <c r="H442" s="126"/>
    </row>
    <row r="443" spans="1:8" s="93" customFormat="1">
      <c r="A443" s="235"/>
      <c r="B443" s="126"/>
      <c r="C443" s="126"/>
      <c r="D443" s="126"/>
      <c r="E443" s="126"/>
      <c r="F443" s="126"/>
      <c r="G443" s="126"/>
      <c r="H443" s="126"/>
    </row>
    <row r="444" spans="1:8" s="93" customFormat="1">
      <c r="A444" s="235"/>
      <c r="B444" s="126"/>
      <c r="C444" s="126"/>
      <c r="D444" s="126"/>
      <c r="E444" s="126"/>
      <c r="F444" s="126"/>
      <c r="G444" s="126"/>
      <c r="H444" s="126"/>
    </row>
    <row r="445" spans="1:8" s="93" customFormat="1">
      <c r="A445" s="235"/>
      <c r="B445" s="126"/>
      <c r="C445" s="126"/>
      <c r="D445" s="126"/>
      <c r="E445" s="126"/>
      <c r="F445" s="126"/>
      <c r="G445" s="126"/>
      <c r="H445" s="126"/>
    </row>
    <row r="446" spans="1:8" s="93" customFormat="1">
      <c r="A446" s="235"/>
      <c r="B446" s="126"/>
      <c r="C446" s="126"/>
      <c r="D446" s="126"/>
      <c r="E446" s="126"/>
      <c r="F446" s="126"/>
      <c r="G446" s="126"/>
      <c r="H446" s="126"/>
    </row>
    <row r="447" spans="1:8" s="93" customFormat="1">
      <c r="A447" s="235"/>
      <c r="B447" s="126"/>
      <c r="C447" s="126"/>
      <c r="D447" s="126"/>
      <c r="E447" s="126"/>
      <c r="F447" s="126"/>
      <c r="G447" s="126"/>
      <c r="H447" s="126"/>
    </row>
    <row r="448" spans="1:8" s="93" customFormat="1">
      <c r="A448" s="235"/>
      <c r="B448" s="126"/>
      <c r="C448" s="126"/>
      <c r="D448" s="126"/>
      <c r="E448" s="126"/>
      <c r="F448" s="126"/>
      <c r="G448" s="126"/>
      <c r="H448" s="126"/>
    </row>
    <row r="449" spans="1:8" s="93" customFormat="1">
      <c r="A449" s="235"/>
      <c r="B449" s="126"/>
      <c r="C449" s="126"/>
      <c r="D449" s="126"/>
      <c r="E449" s="126"/>
      <c r="F449" s="126"/>
      <c r="G449" s="126"/>
      <c r="H449" s="126"/>
    </row>
    <row r="450" spans="1:8" s="93" customFormat="1">
      <c r="A450" s="235"/>
      <c r="B450" s="126"/>
      <c r="C450" s="126"/>
      <c r="D450" s="126"/>
      <c r="E450" s="126"/>
      <c r="F450" s="126"/>
      <c r="G450" s="126"/>
      <c r="H450" s="126"/>
    </row>
    <row r="451" spans="1:8" s="93" customFormat="1">
      <c r="A451" s="235"/>
      <c r="B451" s="126"/>
      <c r="C451" s="126"/>
      <c r="D451" s="126"/>
      <c r="E451" s="126"/>
      <c r="F451" s="126"/>
      <c r="G451" s="126"/>
      <c r="H451" s="126"/>
    </row>
    <row r="452" spans="1:8" s="93" customFormat="1">
      <c r="A452" s="235"/>
      <c r="B452" s="126"/>
      <c r="C452" s="126"/>
      <c r="D452" s="126"/>
      <c r="E452" s="126"/>
      <c r="F452" s="126"/>
      <c r="G452" s="126"/>
      <c r="H452" s="126"/>
    </row>
    <row r="453" spans="1:8" s="93" customFormat="1">
      <c r="A453" s="235"/>
      <c r="B453" s="126"/>
      <c r="C453" s="126"/>
      <c r="D453" s="126"/>
      <c r="E453" s="126"/>
      <c r="F453" s="126"/>
      <c r="G453" s="126"/>
      <c r="H453" s="126"/>
    </row>
    <row r="454" spans="1:8" s="93" customFormat="1">
      <c r="A454" s="235"/>
      <c r="B454" s="126"/>
      <c r="C454" s="126"/>
      <c r="D454" s="126"/>
      <c r="E454" s="126"/>
      <c r="F454" s="126"/>
      <c r="G454" s="126"/>
      <c r="H454" s="126"/>
    </row>
    <row r="455" spans="1:8" s="93" customFormat="1">
      <c r="A455" s="235"/>
      <c r="B455" s="126"/>
      <c r="C455" s="126"/>
      <c r="D455" s="126"/>
      <c r="E455" s="126"/>
      <c r="F455" s="126"/>
      <c r="G455" s="126"/>
      <c r="H455" s="126"/>
    </row>
    <row r="456" spans="1:8" s="93" customFormat="1">
      <c r="A456" s="235"/>
      <c r="B456" s="126"/>
      <c r="C456" s="126"/>
      <c r="D456" s="126"/>
      <c r="E456" s="126"/>
      <c r="F456" s="126"/>
      <c r="G456" s="126"/>
      <c r="H456" s="126"/>
    </row>
    <row r="457" spans="1:8" s="93" customFormat="1">
      <c r="A457" s="235"/>
      <c r="B457" s="126"/>
      <c r="C457" s="126"/>
      <c r="D457" s="126"/>
      <c r="E457" s="126"/>
      <c r="F457" s="126"/>
      <c r="G457" s="126"/>
      <c r="H457" s="126"/>
    </row>
    <row r="458" spans="1:8" s="93" customFormat="1">
      <c r="A458" s="235"/>
      <c r="B458" s="126"/>
      <c r="C458" s="126"/>
      <c r="D458" s="126"/>
      <c r="E458" s="126"/>
      <c r="F458" s="126"/>
      <c r="G458" s="126"/>
      <c r="H458" s="126"/>
    </row>
    <row r="459" spans="1:8" s="93" customFormat="1">
      <c r="A459" s="235"/>
      <c r="B459" s="126"/>
      <c r="C459" s="126"/>
      <c r="D459" s="126"/>
      <c r="E459" s="126"/>
      <c r="F459" s="126"/>
      <c r="G459" s="126"/>
      <c r="H459" s="126"/>
    </row>
    <row r="460" spans="1:8" s="93" customFormat="1">
      <c r="A460" s="235"/>
      <c r="B460" s="126"/>
      <c r="C460" s="126"/>
      <c r="D460" s="126"/>
      <c r="E460" s="126"/>
      <c r="F460" s="126"/>
      <c r="G460" s="126"/>
      <c r="H460" s="126"/>
    </row>
    <row r="461" spans="1:8" s="93" customFormat="1">
      <c r="A461" s="235"/>
      <c r="B461" s="126"/>
      <c r="C461" s="126"/>
      <c r="D461" s="126"/>
      <c r="E461" s="126"/>
      <c r="F461" s="126"/>
      <c r="G461" s="126"/>
      <c r="H461" s="126"/>
    </row>
    <row r="462" spans="1:8" s="93" customFormat="1">
      <c r="A462" s="235"/>
      <c r="B462" s="126"/>
      <c r="C462" s="126"/>
      <c r="D462" s="126"/>
      <c r="E462" s="126"/>
      <c r="F462" s="126"/>
      <c r="G462" s="126"/>
      <c r="H462" s="126"/>
    </row>
    <row r="463" spans="1:8" s="93" customFormat="1">
      <c r="A463" s="235"/>
      <c r="B463" s="126"/>
      <c r="C463" s="126"/>
      <c r="D463" s="126"/>
      <c r="E463" s="126"/>
      <c r="F463" s="126"/>
      <c r="G463" s="126"/>
      <c r="H463" s="126"/>
    </row>
    <row r="464" spans="1:8" s="93" customFormat="1">
      <c r="A464" s="235"/>
      <c r="B464" s="126"/>
      <c r="C464" s="126"/>
      <c r="D464" s="126"/>
      <c r="E464" s="126"/>
      <c r="F464" s="126"/>
      <c r="G464" s="126"/>
      <c r="H464" s="126"/>
    </row>
    <row r="465" spans="1:8" s="93" customFormat="1">
      <c r="A465" s="235"/>
      <c r="B465" s="126"/>
      <c r="C465" s="126"/>
      <c r="D465" s="126"/>
      <c r="E465" s="126"/>
      <c r="F465" s="126"/>
      <c r="G465" s="126"/>
      <c r="H465" s="126"/>
    </row>
    <row r="466" spans="1:8" s="93" customFormat="1">
      <c r="A466" s="235"/>
      <c r="B466" s="126"/>
      <c r="C466" s="126"/>
      <c r="D466" s="126"/>
      <c r="E466" s="126"/>
      <c r="F466" s="126"/>
      <c r="G466" s="126"/>
      <c r="H466" s="126"/>
    </row>
    <row r="467" spans="1:8" s="93" customFormat="1">
      <c r="A467" s="235"/>
      <c r="B467" s="126"/>
      <c r="C467" s="126"/>
      <c r="D467" s="126"/>
      <c r="E467" s="126"/>
      <c r="F467" s="126"/>
      <c r="G467" s="126"/>
      <c r="H467" s="126"/>
    </row>
    <row r="468" spans="1:8" s="93" customFormat="1">
      <c r="A468" s="235"/>
      <c r="B468" s="126"/>
      <c r="C468" s="126"/>
      <c r="D468" s="126"/>
      <c r="E468" s="126"/>
      <c r="F468" s="126"/>
      <c r="G468" s="126"/>
      <c r="H468" s="126"/>
    </row>
    <row r="469" spans="1:8" s="93" customFormat="1">
      <c r="A469" s="235"/>
      <c r="B469" s="126"/>
      <c r="C469" s="126"/>
      <c r="D469" s="126"/>
      <c r="E469" s="126"/>
      <c r="F469" s="126"/>
      <c r="G469" s="126"/>
      <c r="H469" s="126"/>
    </row>
    <row r="470" spans="1:8" s="93" customFormat="1">
      <c r="A470" s="235"/>
      <c r="B470" s="126"/>
      <c r="C470" s="126"/>
      <c r="D470" s="126"/>
      <c r="E470" s="126"/>
      <c r="F470" s="126"/>
      <c r="G470" s="126"/>
      <c r="H470" s="126"/>
    </row>
    <row r="471" spans="1:8" s="93" customFormat="1">
      <c r="A471" s="235"/>
      <c r="B471" s="126"/>
      <c r="C471" s="126"/>
      <c r="D471" s="126"/>
      <c r="E471" s="126"/>
      <c r="F471" s="126"/>
      <c r="G471" s="126"/>
      <c r="H471" s="126"/>
    </row>
    <row r="472" spans="1:8" s="93" customFormat="1">
      <c r="A472" s="235"/>
      <c r="B472" s="126"/>
      <c r="C472" s="126"/>
      <c r="D472" s="126"/>
      <c r="E472" s="126"/>
      <c r="F472" s="126"/>
      <c r="G472" s="126"/>
      <c r="H472" s="126"/>
    </row>
    <row r="473" spans="1:8" s="93" customFormat="1">
      <c r="A473" s="235"/>
      <c r="B473" s="126"/>
      <c r="C473" s="126"/>
      <c r="D473" s="126"/>
      <c r="E473" s="126"/>
      <c r="F473" s="126"/>
      <c r="G473" s="126"/>
      <c r="H473" s="126"/>
    </row>
    <row r="474" spans="1:8" s="93" customFormat="1">
      <c r="A474" s="235"/>
      <c r="B474" s="126"/>
      <c r="C474" s="126"/>
      <c r="D474" s="126"/>
      <c r="E474" s="126"/>
      <c r="F474" s="126"/>
      <c r="G474" s="126"/>
      <c r="H474" s="126"/>
    </row>
    <row r="475" spans="1:8" s="93" customFormat="1">
      <c r="A475" s="235"/>
      <c r="B475" s="126"/>
      <c r="C475" s="126"/>
      <c r="D475" s="126"/>
      <c r="E475" s="126"/>
      <c r="F475" s="126"/>
      <c r="G475" s="126"/>
      <c r="H475" s="126"/>
    </row>
    <row r="476" spans="1:8" s="93" customFormat="1">
      <c r="A476" s="235"/>
      <c r="B476" s="126"/>
      <c r="C476" s="126"/>
      <c r="D476" s="126"/>
      <c r="E476" s="126"/>
      <c r="F476" s="126"/>
      <c r="G476" s="126"/>
      <c r="H476" s="126"/>
    </row>
    <row r="477" spans="1:8" s="93" customFormat="1">
      <c r="A477" s="235"/>
      <c r="B477" s="126"/>
      <c r="C477" s="126"/>
      <c r="D477" s="126"/>
      <c r="E477" s="126"/>
      <c r="F477" s="126"/>
      <c r="G477" s="126"/>
      <c r="H477" s="126"/>
    </row>
    <row r="478" spans="1:8" s="93" customFormat="1">
      <c r="A478" s="235"/>
      <c r="B478" s="126"/>
      <c r="C478" s="126"/>
      <c r="D478" s="126"/>
      <c r="E478" s="126"/>
      <c r="F478" s="126"/>
      <c r="G478" s="126"/>
      <c r="H478" s="126"/>
    </row>
    <row r="479" spans="1:8" s="93" customFormat="1">
      <c r="A479" s="235"/>
      <c r="B479" s="126"/>
      <c r="C479" s="126"/>
      <c r="D479" s="126"/>
      <c r="E479" s="126"/>
      <c r="F479" s="126"/>
      <c r="G479" s="126"/>
      <c r="H479" s="126"/>
    </row>
    <row r="480" spans="1:8" s="93" customFormat="1">
      <c r="A480" s="235"/>
      <c r="B480" s="126"/>
      <c r="C480" s="126"/>
      <c r="D480" s="126"/>
      <c r="E480" s="126"/>
      <c r="F480" s="126"/>
      <c r="G480" s="126"/>
      <c r="H480" s="126"/>
    </row>
    <row r="481" spans="1:8" s="93" customFormat="1">
      <c r="A481" s="235"/>
      <c r="B481" s="126"/>
      <c r="C481" s="126"/>
      <c r="D481" s="126"/>
      <c r="E481" s="126"/>
      <c r="F481" s="126"/>
      <c r="G481" s="126"/>
      <c r="H481" s="126"/>
    </row>
    <row r="482" spans="1:8" s="93" customFormat="1">
      <c r="A482" s="235"/>
      <c r="B482" s="126"/>
      <c r="C482" s="126"/>
      <c r="D482" s="126"/>
      <c r="E482" s="126"/>
      <c r="F482" s="126"/>
      <c r="G482" s="126"/>
      <c r="H482" s="126"/>
    </row>
    <row r="483" spans="1:8" s="93" customFormat="1">
      <c r="A483" s="235"/>
      <c r="B483" s="126"/>
      <c r="C483" s="126"/>
      <c r="D483" s="126"/>
      <c r="E483" s="126"/>
      <c r="F483" s="126"/>
      <c r="G483" s="126"/>
      <c r="H483" s="126"/>
    </row>
    <row r="484" spans="1:8" s="93" customFormat="1">
      <c r="A484" s="235"/>
      <c r="B484" s="126"/>
      <c r="C484" s="126"/>
      <c r="D484" s="126"/>
      <c r="E484" s="126"/>
      <c r="F484" s="126"/>
      <c r="G484" s="126"/>
      <c r="H484" s="126"/>
    </row>
    <row r="485" spans="1:8" s="93" customFormat="1">
      <c r="A485" s="235"/>
      <c r="B485" s="126"/>
      <c r="C485" s="126"/>
      <c r="D485" s="126"/>
      <c r="E485" s="126"/>
      <c r="F485" s="126"/>
      <c r="G485" s="126"/>
      <c r="H485" s="126"/>
    </row>
    <row r="486" spans="1:8" s="93" customFormat="1">
      <c r="A486" s="235"/>
      <c r="B486" s="126"/>
      <c r="C486" s="126"/>
      <c r="D486" s="126"/>
      <c r="E486" s="126"/>
      <c r="F486" s="126"/>
      <c r="G486" s="126"/>
      <c r="H486" s="126"/>
    </row>
    <row r="487" spans="1:8" s="93" customFormat="1">
      <c r="A487" s="235"/>
      <c r="B487" s="126"/>
      <c r="C487" s="126"/>
      <c r="D487" s="126"/>
      <c r="E487" s="126"/>
      <c r="F487" s="126"/>
      <c r="G487" s="126"/>
      <c r="H487" s="126"/>
    </row>
    <row r="488" spans="1:8" s="93" customFormat="1">
      <c r="A488" s="235"/>
      <c r="B488" s="126"/>
      <c r="C488" s="126"/>
      <c r="D488" s="126"/>
      <c r="E488" s="126"/>
      <c r="F488" s="126"/>
      <c r="G488" s="126"/>
      <c r="H488" s="126"/>
    </row>
    <row r="489" spans="1:8" s="93" customFormat="1">
      <c r="A489" s="235"/>
      <c r="B489" s="126"/>
      <c r="C489" s="126"/>
      <c r="D489" s="126"/>
      <c r="E489" s="126"/>
      <c r="F489" s="126"/>
      <c r="G489" s="126"/>
      <c r="H489" s="126"/>
    </row>
    <row r="490" spans="1:8" s="93" customFormat="1">
      <c r="A490" s="235"/>
      <c r="B490" s="126"/>
      <c r="C490" s="126"/>
      <c r="D490" s="126"/>
      <c r="E490" s="126"/>
      <c r="F490" s="126"/>
      <c r="G490" s="126"/>
      <c r="H490" s="126"/>
    </row>
    <row r="491" spans="1:8" s="93" customFormat="1">
      <c r="A491" s="235"/>
      <c r="B491" s="126"/>
      <c r="C491" s="126"/>
      <c r="D491" s="126"/>
      <c r="E491" s="126"/>
      <c r="F491" s="126"/>
      <c r="G491" s="126"/>
      <c r="H491" s="126"/>
    </row>
    <row r="492" spans="1:8" s="93" customFormat="1">
      <c r="A492" s="235"/>
      <c r="B492" s="126"/>
      <c r="C492" s="126"/>
      <c r="D492" s="126"/>
      <c r="E492" s="126"/>
      <c r="F492" s="126"/>
      <c r="G492" s="126"/>
      <c r="H492" s="126"/>
    </row>
    <row r="493" spans="1:8" s="93" customFormat="1">
      <c r="A493" s="235"/>
      <c r="B493" s="126"/>
      <c r="C493" s="126"/>
      <c r="D493" s="126"/>
      <c r="E493" s="126"/>
      <c r="F493" s="126"/>
      <c r="G493" s="126"/>
      <c r="H493" s="126"/>
    </row>
    <row r="494" spans="1:8" s="93" customFormat="1">
      <c r="A494" s="235"/>
      <c r="B494" s="126"/>
      <c r="C494" s="126"/>
      <c r="D494" s="126"/>
      <c r="E494" s="126"/>
      <c r="F494" s="126"/>
      <c r="G494" s="126"/>
      <c r="H494" s="126"/>
    </row>
    <row r="495" spans="1:8" s="93" customFormat="1">
      <c r="A495" s="235"/>
      <c r="B495" s="126"/>
      <c r="C495" s="126"/>
      <c r="D495" s="126"/>
      <c r="E495" s="126"/>
      <c r="F495" s="126"/>
      <c r="G495" s="126"/>
      <c r="H495" s="126"/>
    </row>
    <row r="496" spans="1:8" s="93" customFormat="1">
      <c r="A496" s="235"/>
      <c r="B496" s="126"/>
      <c r="C496" s="126"/>
      <c r="D496" s="126"/>
      <c r="E496" s="126"/>
      <c r="F496" s="126"/>
      <c r="G496" s="126"/>
      <c r="H496" s="126"/>
    </row>
    <row r="497" spans="1:8" s="93" customFormat="1">
      <c r="A497" s="235"/>
      <c r="B497" s="126"/>
      <c r="C497" s="126"/>
      <c r="D497" s="126"/>
      <c r="E497" s="126"/>
      <c r="F497" s="126"/>
      <c r="G497" s="126"/>
      <c r="H497" s="126"/>
    </row>
    <row r="498" spans="1:8" s="93" customFormat="1">
      <c r="A498" s="235"/>
      <c r="B498" s="126"/>
      <c r="C498" s="126"/>
      <c r="D498" s="126"/>
      <c r="E498" s="126"/>
      <c r="F498" s="126"/>
      <c r="G498" s="126"/>
      <c r="H498" s="126"/>
    </row>
    <row r="499" spans="1:8" s="93" customFormat="1">
      <c r="A499" s="235"/>
      <c r="B499" s="126"/>
      <c r="C499" s="126"/>
      <c r="D499" s="126"/>
      <c r="E499" s="126"/>
      <c r="F499" s="126"/>
      <c r="G499" s="126"/>
      <c r="H499" s="126"/>
    </row>
    <row r="500" spans="1:8" s="93" customFormat="1">
      <c r="A500" s="235"/>
      <c r="B500" s="126"/>
      <c r="C500" s="126"/>
      <c r="D500" s="126"/>
      <c r="E500" s="126"/>
      <c r="F500" s="126"/>
      <c r="G500" s="126"/>
      <c r="H500" s="126"/>
    </row>
    <row r="501" spans="1:8" s="93" customFormat="1">
      <c r="A501" s="235"/>
      <c r="B501" s="126"/>
      <c r="C501" s="126"/>
      <c r="D501" s="126"/>
      <c r="E501" s="126"/>
      <c r="F501" s="126"/>
      <c r="G501" s="126"/>
      <c r="H501" s="126"/>
    </row>
    <row r="502" spans="1:8" s="93" customFormat="1">
      <c r="A502" s="235"/>
      <c r="B502" s="126"/>
      <c r="C502" s="126"/>
      <c r="D502" s="126"/>
      <c r="E502" s="126"/>
      <c r="F502" s="126"/>
      <c r="G502" s="126"/>
      <c r="H502" s="126"/>
    </row>
    <row r="503" spans="1:8" s="93" customFormat="1">
      <c r="A503" s="235"/>
      <c r="B503" s="126"/>
      <c r="C503" s="126"/>
      <c r="D503" s="126"/>
      <c r="E503" s="126"/>
      <c r="F503" s="126"/>
      <c r="G503" s="126"/>
      <c r="H503" s="126"/>
    </row>
    <row r="504" spans="1:8" s="93" customFormat="1">
      <c r="A504" s="235"/>
      <c r="B504" s="126"/>
      <c r="C504" s="126"/>
      <c r="D504" s="126"/>
      <c r="E504" s="126"/>
      <c r="F504" s="126"/>
      <c r="G504" s="126"/>
      <c r="H504" s="126"/>
    </row>
    <row r="505" spans="1:8" s="93" customFormat="1">
      <c r="A505" s="235"/>
      <c r="B505" s="126"/>
      <c r="C505" s="126"/>
      <c r="D505" s="126"/>
      <c r="E505" s="126"/>
      <c r="F505" s="126"/>
      <c r="G505" s="126"/>
      <c r="H505" s="126"/>
    </row>
    <row r="506" spans="1:8" s="93" customFormat="1">
      <c r="A506" s="235"/>
      <c r="B506" s="126"/>
      <c r="C506" s="126"/>
      <c r="D506" s="126"/>
      <c r="E506" s="126"/>
      <c r="F506" s="126"/>
      <c r="G506" s="126"/>
      <c r="H506" s="126"/>
    </row>
    <row r="507" spans="1:8" s="93" customFormat="1">
      <c r="A507" s="235"/>
      <c r="B507" s="126"/>
      <c r="C507" s="126"/>
      <c r="D507" s="126"/>
      <c r="E507" s="126"/>
      <c r="F507" s="126"/>
      <c r="G507" s="126"/>
      <c r="H507" s="126"/>
    </row>
    <row r="508" spans="1:8" s="93" customFormat="1">
      <c r="A508" s="235"/>
      <c r="B508" s="126"/>
      <c r="C508" s="126"/>
      <c r="D508" s="126"/>
      <c r="E508" s="126"/>
      <c r="F508" s="126"/>
      <c r="G508" s="126"/>
      <c r="H508" s="126"/>
    </row>
    <row r="509" spans="1:8" s="93" customFormat="1">
      <c r="A509" s="235"/>
      <c r="B509" s="126"/>
      <c r="C509" s="126"/>
      <c r="D509" s="126"/>
      <c r="E509" s="126"/>
      <c r="F509" s="126"/>
      <c r="G509" s="126"/>
      <c r="H509" s="126"/>
    </row>
    <row r="510" spans="1:8" s="93" customFormat="1">
      <c r="A510" s="235"/>
      <c r="B510" s="126"/>
      <c r="C510" s="126"/>
      <c r="D510" s="126"/>
      <c r="E510" s="126"/>
      <c r="F510" s="126"/>
      <c r="G510" s="126"/>
      <c r="H510" s="126"/>
    </row>
    <row r="511" spans="1:8" s="93" customFormat="1">
      <c r="A511" s="235"/>
      <c r="B511" s="126"/>
      <c r="C511" s="126"/>
      <c r="D511" s="126"/>
      <c r="E511" s="126"/>
      <c r="F511" s="126"/>
      <c r="G511" s="126"/>
      <c r="H511" s="126"/>
    </row>
    <row r="512" spans="1:8" s="93" customFormat="1">
      <c r="A512" s="235"/>
      <c r="B512" s="126"/>
      <c r="C512" s="126"/>
      <c r="D512" s="126"/>
      <c r="E512" s="126"/>
      <c r="F512" s="126"/>
      <c r="G512" s="126"/>
      <c r="H512" s="126"/>
    </row>
    <row r="513" spans="1:8" s="93" customFormat="1">
      <c r="A513" s="235"/>
      <c r="B513" s="126"/>
      <c r="C513" s="126"/>
      <c r="D513" s="126"/>
      <c r="E513" s="126"/>
      <c r="F513" s="126"/>
      <c r="G513" s="126"/>
      <c r="H513" s="126"/>
    </row>
    <row r="514" spans="1:8" s="93" customFormat="1">
      <c r="A514" s="235"/>
      <c r="B514" s="126"/>
      <c r="C514" s="126"/>
      <c r="D514" s="126"/>
      <c r="E514" s="126"/>
      <c r="F514" s="126"/>
      <c r="G514" s="126"/>
      <c r="H514" s="126"/>
    </row>
    <row r="515" spans="1:8" s="93" customFormat="1">
      <c r="A515" s="235"/>
      <c r="B515" s="126"/>
      <c r="C515" s="126"/>
      <c r="D515" s="126"/>
      <c r="E515" s="126"/>
      <c r="F515" s="126"/>
      <c r="G515" s="126"/>
      <c r="H515" s="126"/>
    </row>
    <row r="516" spans="1:8" s="93" customFormat="1">
      <c r="A516" s="235"/>
      <c r="B516" s="126"/>
      <c r="C516" s="126"/>
      <c r="D516" s="126"/>
      <c r="E516" s="126"/>
      <c r="F516" s="126"/>
      <c r="G516" s="126"/>
      <c r="H516" s="126"/>
    </row>
    <row r="517" spans="1:8" s="93" customFormat="1">
      <c r="A517" s="235"/>
      <c r="B517" s="126"/>
      <c r="C517" s="126"/>
      <c r="D517" s="126"/>
      <c r="E517" s="126"/>
      <c r="F517" s="126"/>
      <c r="G517" s="126"/>
      <c r="H517" s="126"/>
    </row>
    <row r="518" spans="1:8" s="93" customFormat="1">
      <c r="A518" s="235"/>
      <c r="B518" s="126"/>
      <c r="C518" s="126"/>
      <c r="D518" s="126"/>
      <c r="E518" s="126"/>
      <c r="F518" s="126"/>
      <c r="G518" s="126"/>
      <c r="H518" s="126"/>
    </row>
    <row r="519" spans="1:8" s="93" customFormat="1">
      <c r="A519" s="235"/>
      <c r="B519" s="126"/>
      <c r="C519" s="126"/>
      <c r="D519" s="126"/>
      <c r="E519" s="126"/>
      <c r="F519" s="126"/>
      <c r="G519" s="126"/>
      <c r="H519" s="126"/>
    </row>
    <row r="520" spans="1:8" s="93" customFormat="1">
      <c r="A520" s="235"/>
      <c r="B520" s="126"/>
      <c r="C520" s="126"/>
      <c r="D520" s="126"/>
      <c r="E520" s="126"/>
      <c r="F520" s="126"/>
      <c r="G520" s="126"/>
      <c r="H520" s="126"/>
    </row>
    <row r="521" spans="1:8" s="93" customFormat="1">
      <c r="A521" s="235"/>
      <c r="B521" s="126"/>
      <c r="C521" s="126"/>
      <c r="D521" s="126"/>
      <c r="E521" s="126"/>
      <c r="F521" s="126"/>
      <c r="G521" s="126"/>
      <c r="H521" s="126"/>
    </row>
    <row r="522" spans="1:8" s="93" customFormat="1">
      <c r="A522" s="235"/>
      <c r="B522" s="126"/>
      <c r="C522" s="126"/>
      <c r="D522" s="126"/>
      <c r="E522" s="126"/>
      <c r="F522" s="126"/>
      <c r="G522" s="126"/>
      <c r="H522" s="126"/>
    </row>
    <row r="523" spans="1:8" s="93" customFormat="1">
      <c r="A523" s="235"/>
      <c r="B523" s="126"/>
      <c r="C523" s="126"/>
      <c r="D523" s="126"/>
      <c r="E523" s="126"/>
      <c r="F523" s="126"/>
      <c r="G523" s="126"/>
      <c r="H523" s="126"/>
    </row>
    <row r="524" spans="1:8" s="93" customFormat="1">
      <c r="A524" s="235"/>
      <c r="B524" s="126"/>
      <c r="C524" s="126"/>
      <c r="D524" s="126"/>
      <c r="E524" s="126"/>
      <c r="F524" s="126"/>
      <c r="G524" s="126"/>
      <c r="H524" s="126"/>
    </row>
    <row r="525" spans="1:8" s="93" customFormat="1">
      <c r="A525" s="235"/>
      <c r="B525" s="126"/>
      <c r="C525" s="126"/>
      <c r="D525" s="126"/>
      <c r="E525" s="126"/>
      <c r="F525" s="126"/>
      <c r="G525" s="126"/>
      <c r="H525" s="126"/>
    </row>
    <row r="526" spans="1:8" s="93" customFormat="1">
      <c r="A526" s="235"/>
      <c r="B526" s="126"/>
      <c r="C526" s="126"/>
      <c r="D526" s="126"/>
      <c r="E526" s="126"/>
      <c r="F526" s="126"/>
      <c r="G526" s="126"/>
      <c r="H526" s="126"/>
    </row>
    <row r="527" spans="1:8" s="93" customFormat="1">
      <c r="A527" s="235"/>
      <c r="B527" s="126"/>
      <c r="C527" s="126"/>
      <c r="D527" s="126"/>
      <c r="E527" s="126"/>
      <c r="F527" s="126"/>
      <c r="G527" s="126"/>
      <c r="H527" s="126"/>
    </row>
    <row r="528" spans="1:8" s="93" customFormat="1">
      <c r="A528" s="235"/>
      <c r="B528" s="126"/>
      <c r="C528" s="126"/>
      <c r="D528" s="126"/>
      <c r="E528" s="126"/>
      <c r="F528" s="126"/>
      <c r="G528" s="126"/>
      <c r="H528" s="126"/>
    </row>
    <row r="529" spans="1:8" s="93" customFormat="1">
      <c r="A529" s="235"/>
      <c r="B529" s="126"/>
      <c r="C529" s="126"/>
      <c r="D529" s="126"/>
      <c r="E529" s="126"/>
      <c r="F529" s="126"/>
      <c r="G529" s="126"/>
      <c r="H529" s="126"/>
    </row>
    <row r="530" spans="1:8" s="93" customFormat="1">
      <c r="A530" s="235"/>
      <c r="B530" s="126"/>
      <c r="C530" s="126"/>
      <c r="D530" s="126"/>
      <c r="E530" s="126"/>
      <c r="F530" s="126"/>
      <c r="G530" s="126"/>
      <c r="H530" s="126"/>
    </row>
    <row r="531" spans="1:8" s="93" customFormat="1">
      <c r="A531" s="235"/>
      <c r="B531" s="126"/>
      <c r="C531" s="126"/>
      <c r="D531" s="126"/>
      <c r="E531" s="126"/>
      <c r="F531" s="126"/>
      <c r="G531" s="126"/>
      <c r="H531" s="126"/>
    </row>
    <row r="532" spans="1:8" s="93" customFormat="1">
      <c r="A532" s="235"/>
      <c r="B532" s="126"/>
      <c r="C532" s="126"/>
      <c r="D532" s="126"/>
      <c r="E532" s="126"/>
      <c r="F532" s="126"/>
      <c r="G532" s="126"/>
      <c r="H532" s="126"/>
    </row>
    <row r="533" spans="1:8" s="93" customFormat="1">
      <c r="A533" s="235"/>
      <c r="B533" s="126"/>
      <c r="C533" s="126"/>
      <c r="D533" s="126"/>
      <c r="E533" s="126"/>
      <c r="F533" s="126"/>
      <c r="G533" s="126"/>
      <c r="H533" s="126"/>
    </row>
    <row r="534" spans="1:8" s="93" customFormat="1">
      <c r="A534" s="235"/>
      <c r="B534" s="126"/>
      <c r="C534" s="126"/>
      <c r="D534" s="126"/>
      <c r="E534" s="126"/>
      <c r="F534" s="126"/>
      <c r="G534" s="126"/>
      <c r="H534" s="126"/>
    </row>
    <row r="535" spans="1:8" s="93" customFormat="1">
      <c r="A535" s="235"/>
      <c r="B535" s="126"/>
      <c r="C535" s="126"/>
      <c r="D535" s="126"/>
      <c r="E535" s="126"/>
      <c r="F535" s="126"/>
      <c r="G535" s="126"/>
      <c r="H535" s="126"/>
    </row>
    <row r="536" spans="1:8" s="93" customFormat="1">
      <c r="A536" s="235"/>
      <c r="B536" s="126"/>
      <c r="C536" s="126"/>
      <c r="D536" s="126"/>
      <c r="E536" s="126"/>
      <c r="F536" s="126"/>
      <c r="G536" s="126"/>
      <c r="H536" s="126"/>
    </row>
    <row r="537" spans="1:8" s="93" customFormat="1">
      <c r="A537" s="235"/>
      <c r="B537" s="126"/>
      <c r="C537" s="126"/>
      <c r="D537" s="126"/>
      <c r="E537" s="126"/>
      <c r="F537" s="126"/>
      <c r="G537" s="126"/>
      <c r="H537" s="126"/>
    </row>
    <row r="538" spans="1:8" s="93" customFormat="1">
      <c r="A538" s="235"/>
      <c r="B538" s="126"/>
      <c r="C538" s="126"/>
      <c r="D538" s="126"/>
      <c r="E538" s="126"/>
      <c r="F538" s="126"/>
      <c r="G538" s="126"/>
      <c r="H538" s="126"/>
    </row>
    <row r="539" spans="1:8" s="93" customFormat="1">
      <c r="A539" s="235"/>
      <c r="B539" s="126"/>
      <c r="C539" s="126"/>
      <c r="D539" s="126"/>
      <c r="E539" s="126"/>
      <c r="F539" s="126"/>
      <c r="G539" s="126"/>
      <c r="H539" s="126"/>
    </row>
    <row r="540" spans="1:8" s="93" customFormat="1">
      <c r="A540" s="235"/>
      <c r="B540" s="126"/>
      <c r="C540" s="126"/>
      <c r="D540" s="126"/>
      <c r="E540" s="126"/>
      <c r="F540" s="126"/>
      <c r="G540" s="126"/>
      <c r="H540" s="126"/>
    </row>
    <row r="541" spans="1:8" s="93" customFormat="1">
      <c r="A541" s="235"/>
      <c r="B541" s="126"/>
      <c r="C541" s="126"/>
      <c r="D541" s="126"/>
      <c r="E541" s="126"/>
      <c r="F541" s="126"/>
      <c r="G541" s="126"/>
      <c r="H541" s="126"/>
    </row>
    <row r="542" spans="1:8" s="93" customFormat="1">
      <c r="A542" s="235"/>
      <c r="B542" s="126"/>
      <c r="C542" s="126"/>
      <c r="D542" s="126"/>
      <c r="E542" s="126"/>
      <c r="F542" s="126"/>
      <c r="G542" s="126"/>
      <c r="H542" s="126"/>
    </row>
    <row r="543" spans="1:8" s="93" customFormat="1">
      <c r="A543" s="235"/>
      <c r="B543" s="126"/>
      <c r="C543" s="126"/>
      <c r="D543" s="126"/>
      <c r="E543" s="126"/>
      <c r="F543" s="126"/>
      <c r="G543" s="126"/>
      <c r="H543" s="126"/>
    </row>
    <row r="544" spans="1:8" s="93" customFormat="1">
      <c r="A544" s="235"/>
      <c r="B544" s="126"/>
      <c r="C544" s="126"/>
      <c r="D544" s="126"/>
      <c r="E544" s="126"/>
      <c r="F544" s="126"/>
      <c r="G544" s="126"/>
      <c r="H544" s="126"/>
    </row>
    <row r="545" spans="1:8" s="93" customFormat="1">
      <c r="A545" s="235"/>
      <c r="B545" s="126"/>
      <c r="C545" s="126"/>
      <c r="D545" s="126"/>
      <c r="E545" s="126"/>
      <c r="F545" s="126"/>
      <c r="G545" s="126"/>
      <c r="H545" s="126"/>
    </row>
    <row r="546" spans="1:8" s="93" customFormat="1">
      <c r="A546" s="235"/>
      <c r="B546" s="126"/>
      <c r="C546" s="126"/>
      <c r="D546" s="126"/>
      <c r="E546" s="126"/>
      <c r="F546" s="126"/>
      <c r="G546" s="126"/>
      <c r="H546" s="126"/>
    </row>
    <row r="547" spans="1:8" s="93" customFormat="1">
      <c r="A547" s="235"/>
      <c r="B547" s="126"/>
      <c r="C547" s="126"/>
      <c r="D547" s="126"/>
      <c r="E547" s="126"/>
      <c r="F547" s="126"/>
      <c r="G547" s="126"/>
      <c r="H547" s="126"/>
    </row>
    <row r="548" spans="1:8" s="93" customFormat="1">
      <c r="A548" s="235"/>
      <c r="B548" s="126"/>
      <c r="C548" s="126"/>
      <c r="D548" s="126"/>
      <c r="E548" s="126"/>
      <c r="F548" s="126"/>
      <c r="G548" s="126"/>
      <c r="H548" s="126"/>
    </row>
    <row r="549" spans="1:8" s="93" customFormat="1">
      <c r="A549" s="235"/>
      <c r="B549" s="126"/>
      <c r="C549" s="126"/>
      <c r="D549" s="126"/>
      <c r="E549" s="126"/>
      <c r="F549" s="126"/>
      <c r="G549" s="126"/>
      <c r="H549" s="126"/>
    </row>
    <row r="550" spans="1:8" s="93" customFormat="1">
      <c r="A550" s="235"/>
      <c r="B550" s="126"/>
      <c r="C550" s="126"/>
      <c r="D550" s="126"/>
      <c r="E550" s="126"/>
      <c r="F550" s="126"/>
      <c r="G550" s="126"/>
      <c r="H550" s="126"/>
    </row>
    <row r="551" spans="1:8" s="93" customFormat="1">
      <c r="A551" s="235"/>
      <c r="B551" s="126"/>
      <c r="C551" s="126"/>
      <c r="D551" s="126"/>
      <c r="E551" s="126"/>
      <c r="F551" s="126"/>
      <c r="G551" s="126"/>
      <c r="H551" s="126"/>
    </row>
    <row r="552" spans="1:8" s="93" customFormat="1">
      <c r="A552" s="235"/>
      <c r="B552" s="126"/>
      <c r="C552" s="126"/>
      <c r="D552" s="126"/>
      <c r="E552" s="126"/>
      <c r="F552" s="126"/>
      <c r="G552" s="126"/>
      <c r="H552" s="126"/>
    </row>
    <row r="553" spans="1:8" s="93" customFormat="1">
      <c r="A553" s="235"/>
      <c r="B553" s="126"/>
      <c r="C553" s="126"/>
      <c r="D553" s="126"/>
      <c r="E553" s="126"/>
      <c r="F553" s="126"/>
      <c r="G553" s="126"/>
      <c r="H553" s="126"/>
    </row>
    <row r="554" spans="1:8" s="93" customFormat="1">
      <c r="A554" s="235"/>
      <c r="B554" s="126"/>
      <c r="C554" s="126"/>
      <c r="D554" s="126"/>
      <c r="E554" s="126"/>
      <c r="F554" s="126"/>
      <c r="G554" s="126"/>
      <c r="H554" s="126"/>
    </row>
    <row r="555" spans="1:8" s="93" customFormat="1">
      <c r="A555" s="235"/>
      <c r="B555" s="126"/>
      <c r="C555" s="126"/>
      <c r="D555" s="126"/>
      <c r="E555" s="126"/>
      <c r="F555" s="126"/>
      <c r="G555" s="126"/>
      <c r="H555" s="126"/>
    </row>
    <row r="556" spans="1:8" s="93" customFormat="1">
      <c r="A556" s="235"/>
      <c r="B556" s="126"/>
      <c r="C556" s="126"/>
      <c r="D556" s="126"/>
      <c r="E556" s="126"/>
      <c r="F556" s="126"/>
      <c r="G556" s="126"/>
      <c r="H556" s="126"/>
    </row>
    <row r="557" spans="1:8" s="93" customFormat="1">
      <c r="A557" s="235"/>
      <c r="B557" s="126"/>
      <c r="C557" s="126"/>
      <c r="D557" s="126"/>
      <c r="E557" s="126"/>
      <c r="F557" s="126"/>
      <c r="G557" s="126"/>
      <c r="H557" s="126"/>
    </row>
    <row r="558" spans="1:8" s="93" customFormat="1">
      <c r="A558" s="235"/>
      <c r="B558" s="126"/>
      <c r="C558" s="126"/>
      <c r="D558" s="126"/>
      <c r="E558" s="126"/>
      <c r="F558" s="126"/>
      <c r="G558" s="126"/>
      <c r="H558" s="126"/>
    </row>
    <row r="559" spans="1:8" s="93" customFormat="1">
      <c r="A559" s="235"/>
      <c r="B559" s="126"/>
      <c r="C559" s="126"/>
      <c r="D559" s="126"/>
      <c r="E559" s="126"/>
      <c r="F559" s="126"/>
      <c r="G559" s="126"/>
      <c r="H559" s="126"/>
    </row>
    <row r="560" spans="1:8" s="93" customFormat="1">
      <c r="A560" s="235"/>
      <c r="B560" s="126"/>
      <c r="C560" s="126"/>
      <c r="D560" s="126"/>
      <c r="E560" s="126"/>
      <c r="F560" s="126"/>
      <c r="G560" s="126"/>
      <c r="H560" s="126"/>
    </row>
    <row r="561" spans="1:8" s="93" customFormat="1">
      <c r="A561" s="235"/>
      <c r="B561" s="126"/>
      <c r="C561" s="126"/>
      <c r="D561" s="126"/>
      <c r="E561" s="126"/>
      <c r="F561" s="126"/>
      <c r="G561" s="126"/>
      <c r="H561" s="126"/>
    </row>
    <row r="562" spans="1:8" s="93" customFormat="1">
      <c r="A562" s="235"/>
      <c r="B562" s="126"/>
      <c r="C562" s="126"/>
      <c r="D562" s="126"/>
      <c r="E562" s="126"/>
      <c r="F562" s="126"/>
      <c r="G562" s="126"/>
      <c r="H562" s="126"/>
    </row>
    <row r="563" spans="1:8" s="93" customFormat="1">
      <c r="A563" s="235"/>
      <c r="B563" s="126"/>
      <c r="C563" s="126"/>
      <c r="D563" s="126"/>
      <c r="E563" s="126"/>
      <c r="F563" s="126"/>
      <c r="G563" s="126"/>
      <c r="H563" s="126"/>
    </row>
    <row r="564" spans="1:8" s="93" customFormat="1">
      <c r="A564" s="235"/>
      <c r="B564" s="126"/>
      <c r="C564" s="126"/>
      <c r="D564" s="126"/>
      <c r="E564" s="126"/>
      <c r="F564" s="126"/>
      <c r="G564" s="126"/>
      <c r="H564" s="126"/>
    </row>
    <row r="565" spans="1:8" s="93" customFormat="1">
      <c r="A565" s="235"/>
      <c r="B565" s="126"/>
      <c r="C565" s="126"/>
      <c r="D565" s="126"/>
      <c r="E565" s="126"/>
      <c r="F565" s="126"/>
      <c r="G565" s="126"/>
      <c r="H565" s="126"/>
    </row>
    <row r="566" spans="1:8" s="93" customFormat="1">
      <c r="A566" s="235"/>
      <c r="B566" s="126"/>
      <c r="C566" s="126"/>
      <c r="D566" s="126"/>
      <c r="E566" s="126"/>
      <c r="F566" s="126"/>
      <c r="G566" s="126"/>
      <c r="H566" s="126"/>
    </row>
    <row r="567" spans="1:8" s="93" customFormat="1">
      <c r="A567" s="235"/>
      <c r="B567" s="126"/>
      <c r="C567" s="126"/>
      <c r="D567" s="126"/>
      <c r="E567" s="126"/>
      <c r="F567" s="126"/>
      <c r="G567" s="126"/>
      <c r="H567" s="126"/>
    </row>
    <row r="568" spans="1:8" s="93" customFormat="1">
      <c r="A568" s="235"/>
      <c r="B568" s="126"/>
      <c r="C568" s="126"/>
      <c r="D568" s="126"/>
      <c r="E568" s="126"/>
      <c r="F568" s="126"/>
      <c r="G568" s="126"/>
      <c r="H568" s="126"/>
    </row>
    <row r="569" spans="1:8" s="93" customFormat="1">
      <c r="A569" s="235"/>
      <c r="B569" s="126"/>
      <c r="C569" s="126"/>
      <c r="D569" s="126"/>
      <c r="E569" s="126"/>
      <c r="F569" s="126"/>
      <c r="G569" s="126"/>
      <c r="H569" s="126"/>
    </row>
    <row r="570" spans="1:8" s="93" customFormat="1">
      <c r="A570" s="235"/>
      <c r="B570" s="126"/>
      <c r="C570" s="126"/>
      <c r="D570" s="126"/>
      <c r="E570" s="126"/>
      <c r="F570" s="126"/>
      <c r="G570" s="126"/>
      <c r="H570" s="126"/>
    </row>
    <row r="571" spans="1:8" s="93" customFormat="1">
      <c r="A571" s="235"/>
      <c r="B571" s="126"/>
      <c r="C571" s="126"/>
      <c r="D571" s="126"/>
      <c r="E571" s="126"/>
      <c r="F571" s="126"/>
      <c r="G571" s="126"/>
      <c r="H571" s="126"/>
    </row>
    <row r="572" spans="1:8" s="93" customFormat="1">
      <c r="A572" s="235"/>
      <c r="B572" s="126"/>
      <c r="C572" s="126"/>
      <c r="D572" s="126"/>
      <c r="E572" s="126"/>
      <c r="F572" s="126"/>
      <c r="G572" s="126"/>
      <c r="H572" s="126"/>
    </row>
    <row r="573" spans="1:8" s="93" customFormat="1">
      <c r="A573" s="235"/>
      <c r="B573" s="126"/>
      <c r="C573" s="126"/>
      <c r="D573" s="126"/>
      <c r="E573" s="126"/>
      <c r="F573" s="126"/>
      <c r="G573" s="126"/>
      <c r="H573" s="126"/>
    </row>
    <row r="574" spans="1:8" s="93" customFormat="1">
      <c r="A574" s="235"/>
      <c r="B574" s="126"/>
      <c r="C574" s="126"/>
      <c r="D574" s="126"/>
      <c r="E574" s="126"/>
      <c r="F574" s="126"/>
      <c r="G574" s="126"/>
      <c r="H574" s="126"/>
    </row>
    <row r="575" spans="1:8" s="93" customFormat="1">
      <c r="A575" s="235"/>
      <c r="B575" s="126"/>
      <c r="C575" s="126"/>
      <c r="D575" s="126"/>
      <c r="E575" s="126"/>
      <c r="F575" s="126"/>
      <c r="G575" s="126"/>
      <c r="H575" s="126"/>
    </row>
    <row r="576" spans="1:8" s="93" customFormat="1">
      <c r="A576" s="235"/>
      <c r="B576" s="126"/>
      <c r="C576" s="126"/>
      <c r="D576" s="126"/>
      <c r="E576" s="126"/>
      <c r="F576" s="126"/>
      <c r="G576" s="126"/>
      <c r="H576" s="126"/>
    </row>
    <row r="577" spans="1:8" s="93" customFormat="1">
      <c r="A577" s="235"/>
      <c r="B577" s="126"/>
      <c r="C577" s="126"/>
      <c r="D577" s="126"/>
      <c r="E577" s="126"/>
      <c r="F577" s="126"/>
      <c r="G577" s="126"/>
      <c r="H577" s="126"/>
    </row>
    <row r="578" spans="1:8" s="93" customFormat="1">
      <c r="A578" s="235"/>
      <c r="B578" s="126"/>
      <c r="C578" s="126"/>
      <c r="D578" s="126"/>
      <c r="E578" s="126"/>
      <c r="F578" s="126"/>
      <c r="G578" s="126"/>
      <c r="H578" s="126"/>
    </row>
    <row r="579" spans="1:8" s="93" customFormat="1">
      <c r="A579" s="235"/>
      <c r="B579" s="126"/>
      <c r="C579" s="126"/>
      <c r="D579" s="126"/>
      <c r="E579" s="126"/>
      <c r="F579" s="126"/>
      <c r="G579" s="126"/>
      <c r="H579" s="126"/>
    </row>
    <row r="580" spans="1:8" s="93" customFormat="1">
      <c r="A580" s="235"/>
      <c r="B580" s="126"/>
      <c r="C580" s="126"/>
      <c r="D580" s="126"/>
      <c r="E580" s="126"/>
      <c r="F580" s="126"/>
      <c r="G580" s="126"/>
      <c r="H580" s="126"/>
    </row>
    <row r="581" spans="1:8" s="93" customFormat="1">
      <c r="A581" s="235"/>
      <c r="B581" s="126"/>
      <c r="C581" s="126"/>
      <c r="D581" s="126"/>
      <c r="E581" s="126"/>
      <c r="F581" s="126"/>
      <c r="G581" s="126"/>
      <c r="H581" s="126"/>
    </row>
    <row r="582" spans="1:8" s="93" customFormat="1">
      <c r="A582" s="235"/>
      <c r="B582" s="126"/>
      <c r="C582" s="126"/>
      <c r="D582" s="126"/>
      <c r="E582" s="126"/>
      <c r="F582" s="126"/>
      <c r="G582" s="126"/>
      <c r="H582" s="126"/>
    </row>
    <row r="583" spans="1:8" s="93" customFormat="1">
      <c r="A583" s="235"/>
      <c r="B583" s="126"/>
      <c r="C583" s="126"/>
      <c r="D583" s="126"/>
      <c r="E583" s="126"/>
      <c r="F583" s="126"/>
      <c r="G583" s="126"/>
      <c r="H583" s="126"/>
    </row>
    <row r="584" spans="1:8" s="93" customFormat="1">
      <c r="A584" s="235"/>
      <c r="B584" s="126"/>
      <c r="C584" s="126"/>
      <c r="D584" s="126"/>
      <c r="E584" s="126"/>
      <c r="F584" s="126"/>
      <c r="G584" s="126"/>
      <c r="H584" s="126"/>
    </row>
    <row r="585" spans="1:8" s="93" customFormat="1">
      <c r="A585" s="235"/>
      <c r="B585" s="126"/>
      <c r="C585" s="126"/>
      <c r="D585" s="126"/>
      <c r="E585" s="126"/>
      <c r="F585" s="126"/>
      <c r="G585" s="126"/>
      <c r="H585" s="126"/>
    </row>
    <row r="586" spans="1:8" s="93" customFormat="1">
      <c r="A586" s="235"/>
      <c r="B586" s="126"/>
      <c r="C586" s="126"/>
      <c r="D586" s="126"/>
      <c r="E586" s="126"/>
      <c r="F586" s="126"/>
      <c r="G586" s="126"/>
      <c r="H586" s="126"/>
    </row>
    <row r="587" spans="1:8" s="93" customFormat="1">
      <c r="A587" s="235"/>
      <c r="B587" s="126"/>
      <c r="C587" s="126"/>
      <c r="D587" s="126"/>
      <c r="E587" s="126"/>
      <c r="F587" s="126"/>
      <c r="G587" s="126"/>
      <c r="H587" s="126"/>
    </row>
    <row r="588" spans="1:8" s="93" customFormat="1">
      <c r="A588" s="235"/>
      <c r="B588" s="126"/>
      <c r="C588" s="126"/>
      <c r="D588" s="126"/>
      <c r="E588" s="126"/>
      <c r="F588" s="126"/>
      <c r="G588" s="126"/>
      <c r="H588" s="126"/>
    </row>
    <row r="589" spans="1:8" s="93" customFormat="1">
      <c r="A589" s="235"/>
      <c r="B589" s="126"/>
      <c r="C589" s="126"/>
      <c r="D589" s="126"/>
      <c r="E589" s="126"/>
      <c r="F589" s="126"/>
      <c r="G589" s="126"/>
      <c r="H589" s="126"/>
    </row>
    <row r="590" spans="1:8" s="93" customFormat="1">
      <c r="A590" s="235"/>
      <c r="B590" s="126"/>
      <c r="C590" s="126"/>
      <c r="D590" s="126"/>
      <c r="E590" s="126"/>
      <c r="F590" s="126"/>
      <c r="G590" s="126"/>
      <c r="H590" s="126"/>
    </row>
    <row r="591" spans="1:8" s="93" customFormat="1">
      <c r="A591" s="235"/>
      <c r="B591" s="126"/>
      <c r="C591" s="126"/>
      <c r="D591" s="126"/>
      <c r="E591" s="126"/>
      <c r="F591" s="126"/>
      <c r="G591" s="126"/>
      <c r="H591" s="126"/>
    </row>
    <row r="592" spans="1:8" s="93" customFormat="1">
      <c r="A592" s="235"/>
      <c r="B592" s="126"/>
      <c r="C592" s="126"/>
      <c r="D592" s="126"/>
      <c r="E592" s="126"/>
      <c r="F592" s="126"/>
      <c r="G592" s="126"/>
      <c r="H592" s="126"/>
    </row>
    <row r="593" spans="1:8" s="93" customFormat="1">
      <c r="A593" s="235"/>
      <c r="B593" s="126"/>
      <c r="C593" s="126"/>
      <c r="D593" s="126"/>
      <c r="E593" s="126"/>
      <c r="F593" s="126"/>
      <c r="G593" s="126"/>
      <c r="H593" s="126"/>
    </row>
    <row r="594" spans="1:8" s="93" customFormat="1">
      <c r="A594" s="235"/>
      <c r="B594" s="126"/>
      <c r="C594" s="126"/>
      <c r="D594" s="126"/>
      <c r="E594" s="126"/>
      <c r="F594" s="126"/>
      <c r="G594" s="126"/>
      <c r="H594" s="126"/>
    </row>
    <row r="595" spans="1:8" s="93" customFormat="1">
      <c r="A595" s="235"/>
      <c r="B595" s="126"/>
      <c r="C595" s="126"/>
      <c r="D595" s="126"/>
      <c r="E595" s="126"/>
      <c r="F595" s="126"/>
      <c r="G595" s="126"/>
      <c r="H595" s="126"/>
    </row>
    <row r="596" spans="1:8" s="93" customFormat="1">
      <c r="A596" s="235"/>
      <c r="B596" s="126"/>
      <c r="C596" s="126"/>
      <c r="D596" s="126"/>
      <c r="E596" s="126"/>
      <c r="F596" s="126"/>
      <c r="G596" s="126"/>
      <c r="H596" s="126"/>
    </row>
    <row r="597" spans="1:8" s="93" customFormat="1">
      <c r="A597" s="235"/>
      <c r="B597" s="126"/>
      <c r="C597" s="126"/>
      <c r="D597" s="126"/>
      <c r="E597" s="126"/>
      <c r="F597" s="126"/>
      <c r="G597" s="126"/>
      <c r="H597" s="126"/>
    </row>
    <row r="598" spans="1:8" s="93" customFormat="1">
      <c r="A598" s="235"/>
      <c r="B598" s="126"/>
      <c r="C598" s="126"/>
      <c r="D598" s="126"/>
      <c r="E598" s="126"/>
      <c r="F598" s="126"/>
      <c r="G598" s="126"/>
      <c r="H598" s="126"/>
    </row>
    <row r="599" spans="1:8" s="93" customFormat="1">
      <c r="A599" s="235"/>
      <c r="B599" s="126"/>
      <c r="C599" s="126"/>
      <c r="D599" s="126"/>
      <c r="E599" s="126"/>
      <c r="F599" s="126"/>
      <c r="G599" s="126"/>
      <c r="H599" s="126"/>
    </row>
    <row r="600" spans="1:8" s="93" customFormat="1">
      <c r="A600" s="235"/>
      <c r="B600" s="126"/>
      <c r="C600" s="126"/>
      <c r="D600" s="126"/>
      <c r="E600" s="126"/>
      <c r="F600" s="126"/>
      <c r="G600" s="126"/>
      <c r="H600" s="126"/>
    </row>
    <row r="601" spans="1:8" s="93" customFormat="1">
      <c r="A601" s="235"/>
      <c r="B601" s="126"/>
      <c r="C601" s="126"/>
      <c r="D601" s="126"/>
      <c r="E601" s="126"/>
      <c r="F601" s="126"/>
      <c r="G601" s="126"/>
      <c r="H601" s="126"/>
    </row>
    <row r="602" spans="1:8" s="93" customFormat="1">
      <c r="A602" s="235"/>
      <c r="B602" s="126"/>
      <c r="C602" s="126"/>
      <c r="D602" s="126"/>
      <c r="E602" s="126"/>
      <c r="F602" s="126"/>
      <c r="G602" s="126"/>
      <c r="H602" s="126"/>
    </row>
    <row r="603" spans="1:8" s="93" customFormat="1">
      <c r="A603" s="235"/>
      <c r="B603" s="126"/>
      <c r="C603" s="126"/>
      <c r="D603" s="126"/>
      <c r="E603" s="126"/>
      <c r="F603" s="126"/>
      <c r="G603" s="126"/>
      <c r="H603" s="126"/>
    </row>
    <row r="604" spans="1:8" s="93" customFormat="1">
      <c r="A604" s="235"/>
      <c r="B604" s="126"/>
      <c r="C604" s="126"/>
      <c r="D604" s="126"/>
      <c r="E604" s="126"/>
      <c r="F604" s="126"/>
      <c r="G604" s="126"/>
      <c r="H604" s="126"/>
    </row>
    <row r="605" spans="1:8" s="93" customFormat="1">
      <c r="A605" s="235"/>
      <c r="B605" s="126"/>
      <c r="C605" s="126"/>
      <c r="D605" s="126"/>
      <c r="E605" s="126"/>
      <c r="F605" s="126"/>
      <c r="G605" s="126"/>
      <c r="H605" s="126"/>
    </row>
    <row r="606" spans="1:8" s="93" customFormat="1">
      <c r="A606" s="235"/>
      <c r="B606" s="126"/>
      <c r="C606" s="126"/>
      <c r="D606" s="126"/>
      <c r="E606" s="126"/>
      <c r="F606" s="126"/>
      <c r="G606" s="126"/>
      <c r="H606" s="126"/>
    </row>
    <row r="607" spans="1:8" s="93" customFormat="1">
      <c r="A607" s="235"/>
      <c r="B607" s="126"/>
      <c r="C607" s="126"/>
      <c r="D607" s="126"/>
      <c r="E607" s="126"/>
      <c r="F607" s="126"/>
      <c r="G607" s="126"/>
      <c r="H607" s="126"/>
    </row>
    <row r="608" spans="1:8" s="93" customFormat="1">
      <c r="A608" s="235"/>
      <c r="B608" s="126"/>
      <c r="C608" s="126"/>
      <c r="D608" s="126"/>
      <c r="E608" s="126"/>
      <c r="F608" s="126"/>
      <c r="G608" s="126"/>
      <c r="H608" s="126"/>
    </row>
    <row r="609" spans="1:8" s="93" customFormat="1">
      <c r="A609" s="235"/>
      <c r="B609" s="126"/>
      <c r="C609" s="126"/>
      <c r="D609" s="126"/>
      <c r="E609" s="126"/>
      <c r="F609" s="126"/>
      <c r="G609" s="126"/>
      <c r="H609" s="126"/>
    </row>
    <row r="610" spans="1:8" s="93" customFormat="1">
      <c r="A610" s="235"/>
      <c r="B610" s="126"/>
      <c r="C610" s="126"/>
      <c r="D610" s="126"/>
      <c r="E610" s="126"/>
      <c r="F610" s="126"/>
      <c r="G610" s="126"/>
      <c r="H610" s="126"/>
    </row>
    <row r="611" spans="1:8" s="93" customFormat="1">
      <c r="A611" s="235"/>
      <c r="B611" s="126"/>
      <c r="C611" s="126"/>
      <c r="D611" s="126"/>
      <c r="E611" s="126"/>
      <c r="F611" s="126"/>
      <c r="G611" s="126"/>
      <c r="H611" s="126"/>
    </row>
    <row r="612" spans="1:8" s="93" customFormat="1">
      <c r="A612" s="235"/>
      <c r="B612" s="126"/>
      <c r="C612" s="126"/>
      <c r="D612" s="126"/>
      <c r="E612" s="126"/>
      <c r="F612" s="126"/>
      <c r="G612" s="126"/>
      <c r="H612" s="126"/>
    </row>
    <row r="613" spans="1:8" s="93" customFormat="1">
      <c r="A613" s="235"/>
      <c r="B613" s="126"/>
      <c r="C613" s="126"/>
      <c r="D613" s="126"/>
      <c r="E613" s="126"/>
      <c r="F613" s="126"/>
      <c r="G613" s="126"/>
      <c r="H613" s="126"/>
    </row>
    <row r="614" spans="1:8" s="93" customFormat="1">
      <c r="A614" s="235"/>
      <c r="B614" s="126"/>
      <c r="C614" s="126"/>
      <c r="D614" s="126"/>
      <c r="E614" s="126"/>
      <c r="F614" s="126"/>
      <c r="G614" s="126"/>
      <c r="H614" s="126"/>
    </row>
    <row r="615" spans="1:8" s="93" customFormat="1">
      <c r="A615" s="235"/>
      <c r="B615" s="126"/>
      <c r="C615" s="126"/>
      <c r="D615" s="126"/>
      <c r="E615" s="126"/>
      <c r="F615" s="126"/>
      <c r="G615" s="126"/>
      <c r="H615" s="126"/>
    </row>
    <row r="616" spans="1:8" s="93" customFormat="1">
      <c r="A616" s="235"/>
      <c r="B616" s="126"/>
      <c r="C616" s="126"/>
      <c r="D616" s="126"/>
      <c r="E616" s="126"/>
      <c r="F616" s="126"/>
      <c r="G616" s="126"/>
      <c r="H616" s="126"/>
    </row>
    <row r="617" spans="1:8" s="93" customFormat="1">
      <c r="A617" s="235"/>
      <c r="B617" s="126"/>
      <c r="C617" s="126"/>
      <c r="D617" s="126"/>
      <c r="E617" s="126"/>
      <c r="F617" s="126"/>
      <c r="G617" s="126"/>
      <c r="H617" s="126"/>
    </row>
    <row r="618" spans="1:8" s="93" customFormat="1">
      <c r="A618" s="235"/>
      <c r="B618" s="126"/>
      <c r="C618" s="126"/>
      <c r="D618" s="126"/>
      <c r="E618" s="126"/>
      <c r="F618" s="126"/>
      <c r="G618" s="126"/>
      <c r="H618" s="126"/>
    </row>
    <row r="619" spans="1:8" s="93" customFormat="1">
      <c r="A619" s="235"/>
      <c r="B619" s="126"/>
      <c r="C619" s="126"/>
      <c r="D619" s="126"/>
      <c r="E619" s="126"/>
      <c r="F619" s="126"/>
      <c r="G619" s="126"/>
      <c r="H619" s="126"/>
    </row>
    <row r="620" spans="1:8" s="93" customFormat="1">
      <c r="A620" s="235"/>
      <c r="B620" s="126"/>
      <c r="C620" s="126"/>
      <c r="D620" s="126"/>
      <c r="E620" s="126"/>
      <c r="F620" s="126"/>
      <c r="G620" s="126"/>
      <c r="H620" s="126"/>
    </row>
    <row r="621" spans="1:8" s="93" customFormat="1">
      <c r="A621" s="235"/>
      <c r="B621" s="126"/>
      <c r="C621" s="126"/>
      <c r="D621" s="126"/>
      <c r="E621" s="126"/>
      <c r="F621" s="126"/>
      <c r="G621" s="126"/>
      <c r="H621" s="126"/>
    </row>
    <row r="622" spans="1:8" s="93" customFormat="1">
      <c r="A622" s="235"/>
      <c r="B622" s="126"/>
      <c r="C622" s="126"/>
      <c r="D622" s="126"/>
      <c r="E622" s="126"/>
      <c r="F622" s="126"/>
      <c r="G622" s="126"/>
      <c r="H622" s="126"/>
    </row>
    <row r="623" spans="1:8" s="93" customFormat="1">
      <c r="A623" s="235"/>
      <c r="B623" s="126"/>
      <c r="C623" s="126"/>
      <c r="D623" s="126"/>
      <c r="E623" s="126"/>
      <c r="F623" s="126"/>
      <c r="G623" s="126"/>
      <c r="H623" s="126"/>
    </row>
    <row r="624" spans="1:8" s="93" customFormat="1">
      <c r="A624" s="235"/>
      <c r="B624" s="126"/>
      <c r="C624" s="126"/>
      <c r="D624" s="126"/>
      <c r="E624" s="126"/>
      <c r="F624" s="126"/>
      <c r="G624" s="126"/>
      <c r="H624" s="126"/>
    </row>
    <row r="625" spans="1:8" s="93" customFormat="1">
      <c r="A625" s="235"/>
      <c r="B625" s="126"/>
      <c r="C625" s="126"/>
      <c r="D625" s="126"/>
      <c r="E625" s="126"/>
      <c r="F625" s="126"/>
      <c r="G625" s="126"/>
      <c r="H625" s="126"/>
    </row>
    <row r="626" spans="1:8" s="93" customFormat="1">
      <c r="A626" s="235"/>
      <c r="B626" s="126"/>
      <c r="C626" s="126"/>
      <c r="D626" s="126"/>
      <c r="E626" s="126"/>
      <c r="F626" s="126"/>
      <c r="G626" s="126"/>
      <c r="H626" s="126"/>
    </row>
    <row r="627" spans="1:8" s="93" customFormat="1">
      <c r="A627" s="235"/>
      <c r="B627" s="126"/>
      <c r="C627" s="126"/>
      <c r="D627" s="126"/>
      <c r="E627" s="126"/>
      <c r="F627" s="126"/>
      <c r="G627" s="126"/>
      <c r="H627" s="126"/>
    </row>
    <row r="628" spans="1:8" s="93" customFormat="1">
      <c r="A628" s="235"/>
      <c r="B628" s="126"/>
      <c r="C628" s="126"/>
      <c r="D628" s="126"/>
      <c r="E628" s="126"/>
      <c r="F628" s="126"/>
      <c r="G628" s="126"/>
      <c r="H628" s="126"/>
    </row>
    <row r="629" spans="1:8" s="93" customFormat="1">
      <c r="A629" s="235"/>
      <c r="B629" s="126"/>
      <c r="C629" s="126"/>
      <c r="D629" s="126"/>
      <c r="E629" s="126"/>
      <c r="F629" s="126"/>
      <c r="G629" s="126"/>
      <c r="H629" s="126"/>
    </row>
    <row r="630" spans="1:8" s="93" customFormat="1">
      <c r="A630" s="235"/>
      <c r="B630" s="126"/>
      <c r="C630" s="126"/>
      <c r="D630" s="126"/>
      <c r="E630" s="126"/>
      <c r="F630" s="126"/>
      <c r="G630" s="126"/>
      <c r="H630" s="126"/>
    </row>
    <row r="631" spans="1:8" s="93" customFormat="1">
      <c r="A631" s="235"/>
      <c r="B631" s="126"/>
      <c r="C631" s="126"/>
      <c r="D631" s="126"/>
      <c r="E631" s="126"/>
      <c r="F631" s="126"/>
      <c r="G631" s="126"/>
      <c r="H631" s="126"/>
    </row>
    <row r="632" spans="1:8" s="93" customFormat="1">
      <c r="A632" s="235"/>
      <c r="B632" s="126"/>
      <c r="C632" s="126"/>
      <c r="D632" s="126"/>
      <c r="E632" s="126"/>
      <c r="F632" s="126"/>
      <c r="G632" s="126"/>
      <c r="H632" s="126"/>
    </row>
    <row r="633" spans="1:8" s="93" customFormat="1">
      <c r="A633" s="235"/>
      <c r="B633" s="126"/>
      <c r="C633" s="126"/>
      <c r="D633" s="126"/>
      <c r="E633" s="126"/>
      <c r="F633" s="126"/>
      <c r="G633" s="126"/>
      <c r="H633" s="126"/>
    </row>
    <row r="634" spans="1:8" s="93" customFormat="1">
      <c r="A634" s="235"/>
      <c r="B634" s="126"/>
      <c r="C634" s="126"/>
      <c r="D634" s="126"/>
      <c r="E634" s="126"/>
      <c r="F634" s="126"/>
      <c r="G634" s="126"/>
      <c r="H634" s="126"/>
    </row>
    <row r="635" spans="1:8" s="93" customFormat="1">
      <c r="A635" s="235"/>
      <c r="B635" s="126"/>
      <c r="C635" s="126"/>
      <c r="D635" s="126"/>
      <c r="E635" s="126"/>
      <c r="F635" s="126"/>
      <c r="G635" s="126"/>
      <c r="H635" s="126"/>
    </row>
    <row r="636" spans="1:8" s="93" customFormat="1">
      <c r="A636" s="235"/>
      <c r="B636" s="126"/>
      <c r="C636" s="126"/>
      <c r="D636" s="126"/>
      <c r="E636" s="126"/>
      <c r="F636" s="126"/>
      <c r="G636" s="126"/>
      <c r="H636" s="126"/>
    </row>
    <row r="637" spans="1:8" s="93" customFormat="1">
      <c r="A637" s="235"/>
      <c r="B637" s="126"/>
      <c r="C637" s="126"/>
      <c r="D637" s="126"/>
      <c r="E637" s="126"/>
      <c r="F637" s="126"/>
      <c r="G637" s="126"/>
      <c r="H637" s="126"/>
    </row>
    <row r="638" spans="1:8" s="93" customFormat="1">
      <c r="A638" s="235"/>
      <c r="B638" s="126"/>
      <c r="C638" s="126"/>
      <c r="D638" s="126"/>
      <c r="E638" s="126"/>
      <c r="F638" s="126"/>
      <c r="G638" s="126"/>
      <c r="H638" s="126"/>
    </row>
    <row r="639" spans="1:8" s="93" customFormat="1">
      <c r="A639" s="235"/>
      <c r="B639" s="126"/>
      <c r="C639" s="126"/>
      <c r="D639" s="126"/>
      <c r="E639" s="126"/>
      <c r="F639" s="126"/>
      <c r="G639" s="126"/>
      <c r="H639" s="126"/>
    </row>
    <row r="640" spans="1:8" s="93" customFormat="1">
      <c r="A640" s="235"/>
      <c r="B640" s="126"/>
      <c r="C640" s="126"/>
      <c r="D640" s="126"/>
      <c r="E640" s="126"/>
      <c r="F640" s="126"/>
      <c r="G640" s="126"/>
      <c r="H640" s="126"/>
    </row>
    <row r="641" spans="1:8" s="93" customFormat="1">
      <c r="A641" s="235"/>
      <c r="B641" s="126"/>
      <c r="C641" s="126"/>
      <c r="D641" s="126"/>
      <c r="E641" s="126"/>
      <c r="F641" s="126"/>
      <c r="G641" s="126"/>
      <c r="H641" s="126"/>
    </row>
    <row r="642" spans="1:8" s="93" customFormat="1">
      <c r="A642" s="235"/>
      <c r="B642" s="126"/>
      <c r="C642" s="126"/>
      <c r="D642" s="126"/>
      <c r="E642" s="126"/>
      <c r="F642" s="126"/>
      <c r="G642" s="126"/>
      <c r="H642" s="126"/>
    </row>
    <row r="643" spans="1:8" s="93" customFormat="1">
      <c r="A643" s="235"/>
      <c r="B643" s="126"/>
      <c r="C643" s="126"/>
      <c r="D643" s="126"/>
      <c r="E643" s="126"/>
      <c r="F643" s="126"/>
      <c r="G643" s="126"/>
      <c r="H643" s="126"/>
    </row>
    <row r="644" spans="1:8" s="93" customFormat="1">
      <c r="A644" s="235"/>
      <c r="B644" s="126"/>
      <c r="C644" s="126"/>
      <c r="D644" s="126"/>
      <c r="E644" s="126"/>
      <c r="F644" s="126"/>
      <c r="G644" s="126"/>
      <c r="H644" s="126"/>
    </row>
    <row r="645" spans="1:8" s="93" customFormat="1">
      <c r="A645" s="235"/>
      <c r="B645" s="126"/>
      <c r="C645" s="126"/>
      <c r="D645" s="126"/>
      <c r="E645" s="126"/>
      <c r="F645" s="126"/>
      <c r="G645" s="126"/>
      <c r="H645" s="126"/>
    </row>
  </sheetData>
  <mergeCells count="3">
    <mergeCell ref="A3:A103"/>
    <mergeCell ref="A104:A203"/>
    <mergeCell ref="A204:A303"/>
  </mergeCells>
  <phoneticPr fontId="10" type="noConversion"/>
  <pageMargins left="0.69930555555555596" right="0.69930555555555596" top="0.75" bottom="0.75" header="0.3" footer="0.3"/>
  <pageSetup paperSize="9" orientation="portrait" r:id="rId1"/>
  <cellWatches>
    <cellWatch r="B4"/>
    <cellWatch r="B5"/>
    <cellWatch r="B6"/>
    <cellWatch r="B7"/>
    <cellWatch r="B8"/>
    <cellWatch r="B9"/>
    <cellWatch r="B11"/>
    <cellWatch r="B12"/>
    <cellWatch r="B13"/>
    <cellWatch r="B14"/>
    <cellWatch r="B15"/>
    <cellWatch r="B16"/>
    <cellWatch r="B17"/>
    <cellWatch r="B18"/>
    <cellWatch r="B19"/>
    <cellWatch r="B20"/>
    <cellWatch r="B21"/>
    <cellWatch r="B22"/>
    <cellWatch r="B23"/>
    <cellWatch r="B24"/>
    <cellWatch r="B25"/>
    <cellWatch r="B26"/>
    <cellWatch r="B27"/>
    <cellWatch r="B28"/>
    <cellWatch r="B29"/>
    <cellWatch r="B30"/>
    <cellWatch r="B31"/>
    <cellWatch r="B32"/>
    <cellWatch r="B33"/>
    <cellWatch r="B34"/>
    <cellWatch r="B35"/>
    <cellWatch r="B36"/>
    <cellWatch r="B37"/>
    <cellWatch r="B38"/>
    <cellWatch r="B39"/>
    <cellWatch r="B40"/>
    <cellWatch r="B41"/>
    <cellWatch r="B42"/>
    <cellWatch r="B43"/>
    <cellWatch r="B44"/>
    <cellWatch r="B45"/>
    <cellWatch r="B46"/>
    <cellWatch r="B47"/>
    <cellWatch r="B48"/>
    <cellWatch r="B49"/>
    <cellWatch r="B50"/>
    <cellWatch r="B51"/>
    <cellWatch r="B52"/>
    <cellWatch r="B53"/>
    <cellWatch r="B54"/>
    <cellWatch r="B55"/>
    <cellWatch r="B56"/>
    <cellWatch r="B57"/>
    <cellWatch r="B58"/>
    <cellWatch r="B59"/>
    <cellWatch r="B60"/>
    <cellWatch r="B61"/>
    <cellWatch r="B62"/>
    <cellWatch r="B63"/>
    <cellWatch r="B64"/>
    <cellWatch r="B65"/>
    <cellWatch r="B66"/>
    <cellWatch r="B67"/>
    <cellWatch r="B68"/>
    <cellWatch r="B69"/>
    <cellWatch r="B70"/>
    <cellWatch r="B71"/>
    <cellWatch r="B72"/>
    <cellWatch r="B73"/>
    <cellWatch r="B74"/>
    <cellWatch r="B75"/>
    <cellWatch r="B76"/>
    <cellWatch r="B77"/>
    <cellWatch r="B78"/>
    <cellWatch r="B79"/>
    <cellWatch r="B80"/>
    <cellWatch r="B81"/>
    <cellWatch r="B82"/>
    <cellWatch r="B83"/>
    <cellWatch r="B84"/>
    <cellWatch r="B85"/>
    <cellWatch r="B86"/>
    <cellWatch r="B87"/>
    <cellWatch r="B88"/>
    <cellWatch r="B89"/>
    <cellWatch r="B90"/>
    <cellWatch r="B91"/>
    <cellWatch r="B92"/>
    <cellWatch r="B93"/>
    <cellWatch r="B94"/>
    <cellWatch r="B95"/>
    <cellWatch r="B96"/>
    <cellWatch r="B97"/>
    <cellWatch r="B98"/>
    <cellWatch r="B99"/>
    <cellWatch r="B100"/>
    <cellWatch r="B101"/>
    <cellWatch r="B102"/>
    <cellWatch r="B103"/>
    <cellWatch r="B104"/>
    <cellWatch r="B105"/>
    <cellWatch r="B106"/>
    <cellWatch r="B107"/>
    <cellWatch r="B108"/>
    <cellWatch r="B109"/>
    <cellWatch r="B110"/>
    <cellWatch r="B111"/>
    <cellWatch r="B112"/>
    <cellWatch r="B113"/>
    <cellWatch r="B114"/>
    <cellWatch r="B115"/>
    <cellWatch r="B116"/>
    <cellWatch r="B117"/>
    <cellWatch r="B118"/>
    <cellWatch r="B119"/>
    <cellWatch r="B120"/>
    <cellWatch r="B121"/>
    <cellWatch r="B122"/>
    <cellWatch r="B123"/>
    <cellWatch r="B124"/>
    <cellWatch r="B125"/>
    <cellWatch r="B126"/>
    <cellWatch r="B127"/>
    <cellWatch r="B128"/>
    <cellWatch r="B129"/>
    <cellWatch r="B130"/>
    <cellWatch r="B131"/>
    <cellWatch r="B132"/>
    <cellWatch r="B133"/>
    <cellWatch r="B134"/>
    <cellWatch r="B135"/>
    <cellWatch r="B136"/>
    <cellWatch r="B137"/>
    <cellWatch r="B138"/>
    <cellWatch r="B139"/>
    <cellWatch r="B140"/>
    <cellWatch r="B141"/>
    <cellWatch r="B142"/>
    <cellWatch r="B143"/>
    <cellWatch r="B144"/>
    <cellWatch r="B145"/>
    <cellWatch r="B146"/>
    <cellWatch r="B147"/>
    <cellWatch r="B148"/>
    <cellWatch r="B149"/>
    <cellWatch r="B150"/>
    <cellWatch r="B151"/>
    <cellWatch r="B152"/>
    <cellWatch r="B153"/>
    <cellWatch r="B154"/>
    <cellWatch r="B155"/>
    <cellWatch r="B156"/>
    <cellWatch r="B157"/>
    <cellWatch r="B158"/>
    <cellWatch r="B159"/>
    <cellWatch r="B160"/>
    <cellWatch r="B161"/>
    <cellWatch r="B162"/>
    <cellWatch r="B163"/>
    <cellWatch r="B164"/>
    <cellWatch r="B165"/>
    <cellWatch r="B166"/>
    <cellWatch r="B167"/>
    <cellWatch r="B168"/>
    <cellWatch r="B169"/>
    <cellWatch r="B170"/>
    <cellWatch r="B171"/>
    <cellWatch r="B172"/>
    <cellWatch r="B173"/>
    <cellWatch r="B174"/>
    <cellWatch r="B175"/>
    <cellWatch r="B176"/>
    <cellWatch r="B177"/>
    <cellWatch r="B178"/>
    <cellWatch r="B179"/>
    <cellWatch r="B180"/>
    <cellWatch r="B181"/>
    <cellWatch r="B182"/>
    <cellWatch r="B183"/>
    <cellWatch r="B184"/>
    <cellWatch r="B185"/>
    <cellWatch r="B186"/>
    <cellWatch r="B187"/>
    <cellWatch r="B188"/>
    <cellWatch r="B189"/>
    <cellWatch r="B190"/>
    <cellWatch r="B191"/>
    <cellWatch r="B192"/>
    <cellWatch r="B193"/>
    <cellWatch r="B194"/>
    <cellWatch r="B195"/>
    <cellWatch r="B196"/>
    <cellWatch r="B197"/>
    <cellWatch r="B198"/>
    <cellWatch r="B199"/>
    <cellWatch r="B200"/>
    <cellWatch r="B201"/>
    <cellWatch r="B202"/>
    <cellWatch r="B203"/>
    <cellWatch r="B204"/>
    <cellWatch r="B205"/>
    <cellWatch r="B206"/>
    <cellWatch r="B207"/>
    <cellWatch r="B208"/>
    <cellWatch r="B209"/>
    <cellWatch r="B210"/>
    <cellWatch r="B211"/>
    <cellWatch r="B212"/>
    <cellWatch r="B213"/>
    <cellWatch r="B214"/>
    <cellWatch r="B215"/>
    <cellWatch r="B216"/>
    <cellWatch r="B217"/>
    <cellWatch r="B218"/>
    <cellWatch r="B219"/>
    <cellWatch r="B220"/>
    <cellWatch r="B221"/>
    <cellWatch r="B222"/>
    <cellWatch r="B223"/>
    <cellWatch r="B224"/>
    <cellWatch r="B225"/>
    <cellWatch r="B226"/>
    <cellWatch r="B227"/>
    <cellWatch r="B228"/>
    <cellWatch r="B229"/>
    <cellWatch r="B230"/>
    <cellWatch r="B231"/>
    <cellWatch r="B232"/>
    <cellWatch r="B233"/>
    <cellWatch r="B234"/>
    <cellWatch r="B235"/>
    <cellWatch r="B236"/>
    <cellWatch r="B237"/>
    <cellWatch r="B238"/>
    <cellWatch r="B239"/>
    <cellWatch r="B240"/>
    <cellWatch r="B241"/>
    <cellWatch r="B242"/>
    <cellWatch r="B243"/>
    <cellWatch r="B244"/>
    <cellWatch r="B245"/>
    <cellWatch r="B246"/>
    <cellWatch r="B247"/>
    <cellWatch r="B248"/>
    <cellWatch r="B249"/>
    <cellWatch r="B250"/>
    <cellWatch r="B251"/>
    <cellWatch r="B252"/>
    <cellWatch r="B253"/>
    <cellWatch r="B254"/>
    <cellWatch r="B255"/>
    <cellWatch r="B256"/>
    <cellWatch r="B257"/>
    <cellWatch r="B258"/>
    <cellWatch r="B259"/>
    <cellWatch r="B260"/>
    <cellWatch r="B261"/>
    <cellWatch r="B262"/>
    <cellWatch r="B263"/>
    <cellWatch r="B264"/>
    <cellWatch r="B265"/>
    <cellWatch r="B266"/>
    <cellWatch r="B267"/>
    <cellWatch r="B268"/>
    <cellWatch r="B269"/>
    <cellWatch r="B270"/>
    <cellWatch r="B271"/>
    <cellWatch r="B272"/>
    <cellWatch r="B273"/>
    <cellWatch r="B274"/>
    <cellWatch r="B275"/>
    <cellWatch r="B276"/>
    <cellWatch r="B277"/>
    <cellWatch r="B278"/>
    <cellWatch r="B279"/>
    <cellWatch r="B280"/>
    <cellWatch r="B281"/>
    <cellWatch r="B282"/>
    <cellWatch r="B283"/>
    <cellWatch r="B284"/>
    <cellWatch r="B285"/>
    <cellWatch r="B286"/>
    <cellWatch r="B287"/>
    <cellWatch r="B288"/>
    <cellWatch r="B289"/>
    <cellWatch r="B290"/>
    <cellWatch r="B291"/>
    <cellWatch r="B292"/>
    <cellWatch r="B293"/>
    <cellWatch r="B294"/>
    <cellWatch r="B295"/>
    <cellWatch r="B296"/>
    <cellWatch r="B297"/>
    <cellWatch r="B298"/>
    <cellWatch r="B299"/>
    <cellWatch r="B300"/>
    <cellWatch r="B301"/>
    <cellWatch r="B302"/>
    <cellWatch r="B303"/>
    <cellWatch r="B304"/>
    <cellWatch r="B305"/>
    <cellWatch r="B306"/>
    <cellWatch r="B307"/>
    <cellWatch r="B308"/>
    <cellWatch r="B309"/>
    <cellWatch r="B310"/>
    <cellWatch r="B311"/>
    <cellWatch r="B312"/>
    <cellWatch r="B313"/>
    <cellWatch r="B314"/>
    <cellWatch r="B315"/>
    <cellWatch r="B316"/>
    <cellWatch r="B317"/>
    <cellWatch r="B318"/>
    <cellWatch r="B319"/>
    <cellWatch r="B320"/>
    <cellWatch r="B321"/>
    <cellWatch r="B322"/>
    <cellWatch r="B323"/>
    <cellWatch r="B324"/>
    <cellWatch r="B325"/>
    <cellWatch r="B326"/>
    <cellWatch r="B327"/>
    <cellWatch r="B328"/>
    <cellWatch r="B329"/>
    <cellWatch r="B330"/>
    <cellWatch r="B331"/>
    <cellWatch r="B332"/>
    <cellWatch r="B333"/>
    <cellWatch r="B334"/>
    <cellWatch r="B335"/>
    <cellWatch r="B336"/>
    <cellWatch r="B337"/>
    <cellWatch r="B338"/>
    <cellWatch r="B339"/>
    <cellWatch r="B340"/>
    <cellWatch r="B341"/>
    <cellWatch r="B342"/>
    <cellWatch r="B343"/>
    <cellWatch r="B344"/>
    <cellWatch r="B345"/>
    <cellWatch r="B346"/>
    <cellWatch r="B347"/>
    <cellWatch r="B348"/>
    <cellWatch r="B349"/>
    <cellWatch r="B350"/>
    <cellWatch r="B351"/>
    <cellWatch r="B352"/>
    <cellWatch r="B353"/>
    <cellWatch r="B354"/>
    <cellWatch r="B355"/>
    <cellWatch r="B356"/>
    <cellWatch r="B357"/>
    <cellWatch r="B358"/>
    <cellWatch r="B359"/>
    <cellWatch r="B360"/>
    <cellWatch r="B361"/>
    <cellWatch r="B362"/>
    <cellWatch r="B363"/>
    <cellWatch r="B364"/>
    <cellWatch r="B365"/>
    <cellWatch r="B366"/>
    <cellWatch r="B367"/>
    <cellWatch r="B368"/>
    <cellWatch r="B369"/>
    <cellWatch r="B370"/>
    <cellWatch r="B371"/>
    <cellWatch r="B372"/>
    <cellWatch r="B373"/>
    <cellWatch r="B374"/>
    <cellWatch r="B375"/>
    <cellWatch r="B376"/>
    <cellWatch r="B377"/>
    <cellWatch r="B378"/>
    <cellWatch r="B379"/>
    <cellWatch r="B380"/>
    <cellWatch r="B381"/>
    <cellWatch r="B382"/>
    <cellWatch r="B384"/>
    <cellWatch r="B385"/>
    <cellWatch r="B386"/>
    <cellWatch r="B387"/>
    <cellWatch r="B388"/>
    <cellWatch r="B389"/>
    <cellWatch r="B390"/>
    <cellWatch r="B391"/>
    <cellWatch r="B392"/>
    <cellWatch r="B393"/>
    <cellWatch r="B394"/>
    <cellWatch r="B395"/>
    <cellWatch r="B396"/>
    <cellWatch r="B397"/>
    <cellWatch r="B398"/>
    <cellWatch r="B399"/>
    <cellWatch r="B400"/>
    <cellWatch r="B401"/>
    <cellWatch r="B402"/>
  </cellWatch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32"/>
  <sheetViews>
    <sheetView zoomScale="70" zoomScaleNormal="70" workbookViewId="0">
      <selection activeCell="B31" sqref="B31"/>
    </sheetView>
  </sheetViews>
  <sheetFormatPr defaultRowHeight="15"/>
  <cols>
    <col min="1" max="1" width="13" customWidth="1"/>
    <col min="7" max="7" width="12.42578125" customWidth="1"/>
  </cols>
  <sheetData>
    <row r="1" spans="1:11" ht="15.75" thickBot="1">
      <c r="A1" s="29"/>
      <c r="B1" s="30" t="s">
        <v>53</v>
      </c>
      <c r="C1" s="31" t="s">
        <v>54</v>
      </c>
      <c r="D1" s="31" t="s">
        <v>55</v>
      </c>
      <c r="E1" s="32" t="s">
        <v>56</v>
      </c>
      <c r="F1" s="29"/>
      <c r="G1" s="29"/>
      <c r="H1" s="30" t="s">
        <v>53</v>
      </c>
      <c r="I1" s="31" t="s">
        <v>54</v>
      </c>
      <c r="J1" s="31" t="s">
        <v>55</v>
      </c>
      <c r="K1" s="32" t="s">
        <v>56</v>
      </c>
    </row>
    <row r="2" spans="1:11">
      <c r="A2" s="33" t="s">
        <v>74</v>
      </c>
      <c r="B2" s="34">
        <f>1</f>
        <v>1</v>
      </c>
      <c r="C2" s="14">
        <f>Main!C6</f>
        <v>0</v>
      </c>
      <c r="D2" s="14">
        <f>C2^2</f>
        <v>0</v>
      </c>
      <c r="E2" s="15">
        <f>C2^3</f>
        <v>0</v>
      </c>
      <c r="F2" s="29"/>
      <c r="G2" s="33" t="s">
        <v>75</v>
      </c>
      <c r="H2" s="34">
        <f>1</f>
        <v>1</v>
      </c>
      <c r="I2" s="14">
        <f>Main!E6</f>
        <v>1</v>
      </c>
      <c r="J2" s="14">
        <f>I2^2</f>
        <v>1</v>
      </c>
      <c r="K2" s="15">
        <f>I2^3</f>
        <v>1</v>
      </c>
    </row>
    <row r="3" spans="1:11">
      <c r="A3" s="35" t="s">
        <v>76</v>
      </c>
      <c r="B3" s="36">
        <f>0</f>
        <v>0</v>
      </c>
      <c r="C3" s="13">
        <f>1</f>
        <v>1</v>
      </c>
      <c r="D3" s="13">
        <f>2 * C2</f>
        <v>0</v>
      </c>
      <c r="E3" s="16">
        <f>3 * C2 ^ 2</f>
        <v>0</v>
      </c>
      <c r="F3" s="29"/>
      <c r="G3" s="35" t="s">
        <v>77</v>
      </c>
      <c r="H3" s="36">
        <f>0</f>
        <v>0</v>
      </c>
      <c r="I3" s="13">
        <f>1</f>
        <v>1</v>
      </c>
      <c r="J3" s="13">
        <f>2 * I2</f>
        <v>2</v>
      </c>
      <c r="K3" s="16">
        <f>3 * I2 ^ 2</f>
        <v>3</v>
      </c>
    </row>
    <row r="4" spans="1:11">
      <c r="A4" s="35" t="s">
        <v>78</v>
      </c>
      <c r="B4" s="36">
        <f>0</f>
        <v>0</v>
      </c>
      <c r="C4" s="13">
        <f>0</f>
        <v>0</v>
      </c>
      <c r="D4" s="13">
        <f>2</f>
        <v>2</v>
      </c>
      <c r="E4" s="16">
        <f>6 * C2</f>
        <v>0</v>
      </c>
      <c r="F4" s="29"/>
      <c r="G4" s="35" t="s">
        <v>79</v>
      </c>
      <c r="H4" s="36">
        <f>0</f>
        <v>0</v>
      </c>
      <c r="I4" s="13">
        <f>0</f>
        <v>0</v>
      </c>
      <c r="J4" s="13">
        <f>2</f>
        <v>2</v>
      </c>
      <c r="K4" s="16">
        <f>6 * I2</f>
        <v>6</v>
      </c>
    </row>
    <row r="5" spans="1:11" ht="15.75" thickBot="1">
      <c r="A5" s="37" t="s">
        <v>80</v>
      </c>
      <c r="B5" s="38">
        <f>0</f>
        <v>0</v>
      </c>
      <c r="C5" s="17">
        <f>0</f>
        <v>0</v>
      </c>
      <c r="D5" s="17">
        <f>0</f>
        <v>0</v>
      </c>
      <c r="E5" s="18">
        <f>6</f>
        <v>6</v>
      </c>
      <c r="F5" s="29"/>
      <c r="G5" s="39" t="s">
        <v>81</v>
      </c>
      <c r="H5" s="38">
        <f>0</f>
        <v>0</v>
      </c>
      <c r="I5" s="17">
        <f>0</f>
        <v>0</v>
      </c>
      <c r="J5" s="17">
        <f>0</f>
        <v>0</v>
      </c>
      <c r="K5" s="18">
        <f>6</f>
        <v>6</v>
      </c>
    </row>
    <row r="6" spans="1:11" ht="15.75" thickBot="1">
      <c r="A6" s="40"/>
      <c r="B6" s="40"/>
      <c r="C6" s="40"/>
      <c r="D6" s="40"/>
      <c r="E6" s="40"/>
      <c r="F6" s="29"/>
      <c r="G6" s="41"/>
      <c r="H6" s="40"/>
      <c r="I6" s="40"/>
      <c r="J6" s="40"/>
      <c r="K6" s="40"/>
    </row>
    <row r="7" spans="1:11" ht="15.75" thickBot="1">
      <c r="A7" s="29"/>
      <c r="B7" s="30" t="s">
        <v>57</v>
      </c>
      <c r="C7" s="31" t="s">
        <v>58</v>
      </c>
      <c r="D7" s="31" t="s">
        <v>59</v>
      </c>
      <c r="E7" s="42" t="s">
        <v>60</v>
      </c>
      <c r="F7" s="29"/>
      <c r="G7" s="29"/>
      <c r="H7" s="30" t="s">
        <v>57</v>
      </c>
      <c r="I7" s="31" t="s">
        <v>58</v>
      </c>
      <c r="J7" s="31" t="s">
        <v>59</v>
      </c>
      <c r="K7" s="42" t="s">
        <v>60</v>
      </c>
    </row>
    <row r="8" spans="1:11">
      <c r="A8" s="33" t="s">
        <v>82</v>
      </c>
      <c r="B8" s="34">
        <f>1</f>
        <v>1</v>
      </c>
      <c r="C8" s="14">
        <f>I2</f>
        <v>1</v>
      </c>
      <c r="D8" s="14">
        <f>C8^2</f>
        <v>1</v>
      </c>
      <c r="E8" s="15">
        <f>C8^3</f>
        <v>1</v>
      </c>
      <c r="F8" s="29"/>
      <c r="G8" s="33" t="s">
        <v>83</v>
      </c>
      <c r="H8" s="34">
        <f>1</f>
        <v>1</v>
      </c>
      <c r="I8" s="14">
        <f>Main!G6</f>
        <v>2</v>
      </c>
      <c r="J8" s="14">
        <f>I8^2</f>
        <v>4</v>
      </c>
      <c r="K8" s="15">
        <f>I8^3</f>
        <v>8</v>
      </c>
    </row>
    <row r="9" spans="1:11">
      <c r="A9" s="35" t="s">
        <v>84</v>
      </c>
      <c r="B9" s="36">
        <f>0</f>
        <v>0</v>
      </c>
      <c r="C9" s="13">
        <f>1</f>
        <v>1</v>
      </c>
      <c r="D9" s="13">
        <f>2 * C8</f>
        <v>2</v>
      </c>
      <c r="E9" s="16">
        <f>3 * C8 ^ 2</f>
        <v>3</v>
      </c>
      <c r="F9" s="29"/>
      <c r="G9" s="35" t="s">
        <v>85</v>
      </c>
      <c r="H9" s="36">
        <f>0</f>
        <v>0</v>
      </c>
      <c r="I9" s="13">
        <f>1</f>
        <v>1</v>
      </c>
      <c r="J9" s="13">
        <f>2 * I8</f>
        <v>4</v>
      </c>
      <c r="K9" s="16">
        <f>3 * I8 ^ 2</f>
        <v>12</v>
      </c>
    </row>
    <row r="10" spans="1:11">
      <c r="A10" s="35" t="s">
        <v>86</v>
      </c>
      <c r="B10" s="36">
        <f>0</f>
        <v>0</v>
      </c>
      <c r="C10" s="13">
        <f>0</f>
        <v>0</v>
      </c>
      <c r="D10" s="13">
        <f>2</f>
        <v>2</v>
      </c>
      <c r="E10" s="16">
        <f>6 * C8</f>
        <v>6</v>
      </c>
      <c r="F10" s="29"/>
      <c r="G10" s="35" t="s">
        <v>87</v>
      </c>
      <c r="H10" s="36">
        <f>0</f>
        <v>0</v>
      </c>
      <c r="I10" s="13">
        <f>0</f>
        <v>0</v>
      </c>
      <c r="J10" s="13">
        <f>2</f>
        <v>2</v>
      </c>
      <c r="K10" s="16">
        <f>6 * I8</f>
        <v>12</v>
      </c>
    </row>
    <row r="11" spans="1:11" ht="15.75" thickBot="1">
      <c r="A11" s="37" t="s">
        <v>88</v>
      </c>
      <c r="B11" s="38">
        <f>0</f>
        <v>0</v>
      </c>
      <c r="C11" s="17">
        <f>0</f>
        <v>0</v>
      </c>
      <c r="D11" s="17">
        <f>0</f>
        <v>0</v>
      </c>
      <c r="E11" s="18">
        <f>6</f>
        <v>6</v>
      </c>
      <c r="F11" s="29"/>
      <c r="G11" s="39" t="s">
        <v>89</v>
      </c>
      <c r="H11" s="38">
        <f>0</f>
        <v>0</v>
      </c>
      <c r="I11" s="17">
        <f>0</f>
        <v>0</v>
      </c>
      <c r="J11" s="17">
        <f>0</f>
        <v>0</v>
      </c>
      <c r="K11" s="18">
        <f>6</f>
        <v>6</v>
      </c>
    </row>
    <row r="12" spans="1:11" ht="15.75" thickBot="1">
      <c r="A12" s="40"/>
      <c r="B12" s="40"/>
      <c r="C12" s="40"/>
      <c r="D12" s="40"/>
      <c r="E12" s="40"/>
      <c r="F12" s="29"/>
      <c r="G12" s="41"/>
      <c r="H12" s="40"/>
      <c r="I12" s="40"/>
      <c r="J12" s="40"/>
      <c r="K12" s="40"/>
    </row>
    <row r="13" spans="1:11" ht="15.75" thickBot="1">
      <c r="A13" s="29"/>
      <c r="B13" s="30" t="s">
        <v>61</v>
      </c>
      <c r="C13" s="31" t="s">
        <v>62</v>
      </c>
      <c r="D13" s="31" t="s">
        <v>63</v>
      </c>
      <c r="E13" s="32" t="s">
        <v>64</v>
      </c>
      <c r="F13" s="43"/>
      <c r="G13" s="44"/>
      <c r="H13" s="30" t="s">
        <v>61</v>
      </c>
      <c r="I13" s="31" t="s">
        <v>62</v>
      </c>
      <c r="J13" s="31" t="s">
        <v>63</v>
      </c>
      <c r="K13" s="32" t="s">
        <v>64</v>
      </c>
    </row>
    <row r="14" spans="1:11">
      <c r="A14" s="33" t="s">
        <v>90</v>
      </c>
      <c r="B14" s="34">
        <f>1</f>
        <v>1</v>
      </c>
      <c r="C14" s="14">
        <f>I8</f>
        <v>2</v>
      </c>
      <c r="D14" s="14">
        <f>C14^2</f>
        <v>4</v>
      </c>
      <c r="E14" s="15">
        <f>C14^3</f>
        <v>8</v>
      </c>
      <c r="F14" s="29"/>
      <c r="G14" s="33" t="s">
        <v>91</v>
      </c>
      <c r="H14" s="34">
        <f>1</f>
        <v>1</v>
      </c>
      <c r="I14" s="14">
        <f>Main!I6</f>
        <v>4</v>
      </c>
      <c r="J14" s="14">
        <f>I14^2</f>
        <v>16</v>
      </c>
      <c r="K14" s="15">
        <f>I14^3</f>
        <v>64</v>
      </c>
    </row>
    <row r="15" spans="1:11">
      <c r="A15" s="35" t="s">
        <v>92</v>
      </c>
      <c r="B15" s="36">
        <f>0</f>
        <v>0</v>
      </c>
      <c r="C15" s="13">
        <f>1</f>
        <v>1</v>
      </c>
      <c r="D15" s="13">
        <f>2 * C14</f>
        <v>4</v>
      </c>
      <c r="E15" s="16">
        <f>3 * C14 ^ 2</f>
        <v>12</v>
      </c>
      <c r="F15" s="29"/>
      <c r="G15" s="35" t="s">
        <v>93</v>
      </c>
      <c r="H15" s="36">
        <f>0</f>
        <v>0</v>
      </c>
      <c r="I15" s="13">
        <f>1</f>
        <v>1</v>
      </c>
      <c r="J15" s="13">
        <f>2 * I14</f>
        <v>8</v>
      </c>
      <c r="K15" s="16">
        <f>3 * I14 ^ 2</f>
        <v>48</v>
      </c>
    </row>
    <row r="16" spans="1:11">
      <c r="A16" s="35" t="s">
        <v>94</v>
      </c>
      <c r="B16" s="36">
        <f>0</f>
        <v>0</v>
      </c>
      <c r="C16" s="13">
        <f>0</f>
        <v>0</v>
      </c>
      <c r="D16" s="13">
        <f>2</f>
        <v>2</v>
      </c>
      <c r="E16" s="16">
        <f>6 * C14</f>
        <v>12</v>
      </c>
      <c r="F16" s="29"/>
      <c r="G16" s="35" t="s">
        <v>95</v>
      </c>
      <c r="H16" s="36">
        <f>0</f>
        <v>0</v>
      </c>
      <c r="I16" s="13">
        <f>0</f>
        <v>0</v>
      </c>
      <c r="J16" s="13">
        <f>2</f>
        <v>2</v>
      </c>
      <c r="K16" s="16">
        <f>6 * I14</f>
        <v>24</v>
      </c>
    </row>
    <row r="17" spans="1:14" ht="15.75" thickBot="1">
      <c r="A17" s="37" t="s">
        <v>96</v>
      </c>
      <c r="B17" s="38">
        <f>0</f>
        <v>0</v>
      </c>
      <c r="C17" s="17">
        <f>0</f>
        <v>0</v>
      </c>
      <c r="D17" s="17">
        <f>0</f>
        <v>0</v>
      </c>
      <c r="E17" s="18">
        <f>6</f>
        <v>6</v>
      </c>
      <c r="F17" s="29"/>
      <c r="G17" s="37" t="s">
        <v>97</v>
      </c>
      <c r="H17" s="38">
        <f>0</f>
        <v>0</v>
      </c>
      <c r="I17" s="17">
        <f>0</f>
        <v>0</v>
      </c>
      <c r="J17" s="17">
        <f>0</f>
        <v>0</v>
      </c>
      <c r="K17" s="18">
        <f>6</f>
        <v>6</v>
      </c>
    </row>
    <row r="19" spans="1:14" ht="15.75" thickBot="1"/>
    <row r="20" spans="1:14" ht="15.75" thickBot="1">
      <c r="A20" s="24"/>
      <c r="B20" s="25" t="s">
        <v>53</v>
      </c>
      <c r="C20" s="26" t="s">
        <v>54</v>
      </c>
      <c r="D20" s="26" t="s">
        <v>55</v>
      </c>
      <c r="E20" s="45" t="s">
        <v>56</v>
      </c>
      <c r="F20" s="25" t="s">
        <v>57</v>
      </c>
      <c r="G20" s="26" t="s">
        <v>58</v>
      </c>
      <c r="H20" s="26" t="s">
        <v>59</v>
      </c>
      <c r="I20" s="27" t="s">
        <v>60</v>
      </c>
      <c r="J20" s="46" t="s">
        <v>61</v>
      </c>
      <c r="K20" s="46" t="s">
        <v>62</v>
      </c>
      <c r="L20" s="26" t="s">
        <v>63</v>
      </c>
      <c r="M20" s="45" t="s">
        <v>64</v>
      </c>
      <c r="N20" s="47" t="s">
        <v>98</v>
      </c>
    </row>
    <row r="21" spans="1:14">
      <c r="A21" s="21" t="s">
        <v>99</v>
      </c>
      <c r="B21" s="48">
        <f>IF(OR(left_b=constants!$A$5,left_b=constants!$A$7,left_b=constants!$A$4),B2,B5)</f>
        <v>1</v>
      </c>
      <c r="C21" s="48">
        <f>IF(OR(left_b=constants!$A$5,left_b=constants!$A$7,left_b=constants!$A$4),C2,C5)</f>
        <v>0</v>
      </c>
      <c r="D21" s="48">
        <f>IF(OR(left_b=constants!$A$5,left_b=constants!$A$7,left_b=constants!$A$4),D2,D5)</f>
        <v>0</v>
      </c>
      <c r="E21" s="48">
        <f>IF(OR(left_b=constants!$A$5,left_b=constants!$A$7,left_b=constants!$A$4),E2,E5)</f>
        <v>0</v>
      </c>
      <c r="F21" s="50">
        <v>0</v>
      </c>
      <c r="G21" s="51">
        <v>0</v>
      </c>
      <c r="H21" s="51">
        <v>0</v>
      </c>
      <c r="I21" s="52">
        <v>0</v>
      </c>
      <c r="J21" s="53">
        <v>0</v>
      </c>
      <c r="K21" s="53">
        <v>0</v>
      </c>
      <c r="L21" s="51">
        <v>0</v>
      </c>
      <c r="M21" s="54">
        <v>0</v>
      </c>
      <c r="N21" s="55">
        <f>IF(left_b=constants!$A$3,-Main!C7/constants!B12,IF(left_b=constants!$A$4,Main!C9,0))</f>
        <v>0</v>
      </c>
    </row>
    <row r="22" spans="1:14" ht="15.75" thickBot="1">
      <c r="A22" s="23"/>
      <c r="B22" s="56">
        <f>IF(left_b = constants!$A$7,B3,B4)</f>
        <v>0</v>
      </c>
      <c r="C22" s="57">
        <f>IF(left_b = constants!$A$7,C3,C4)</f>
        <v>1</v>
      </c>
      <c r="D22" s="57">
        <f>IF(left_b = constants!$A$7,D3,D4)</f>
        <v>0</v>
      </c>
      <c r="E22" s="58">
        <f>IF(left_b =constants!$A$7,E3,E4)</f>
        <v>0</v>
      </c>
      <c r="F22" s="450">
        <v>0</v>
      </c>
      <c r="G22" s="451">
        <v>0</v>
      </c>
      <c r="H22" s="451">
        <v>0</v>
      </c>
      <c r="I22" s="452">
        <v>0</v>
      </c>
      <c r="J22" s="60">
        <v>0</v>
      </c>
      <c r="K22" s="60">
        <v>0</v>
      </c>
      <c r="L22" s="59">
        <v>0</v>
      </c>
      <c r="M22" s="61">
        <v>0</v>
      </c>
      <c r="N22" s="62">
        <v>0</v>
      </c>
    </row>
    <row r="23" spans="1:14">
      <c r="A23" s="63" t="s">
        <v>100</v>
      </c>
      <c r="B23" s="48">
        <f>H2</f>
        <v>1</v>
      </c>
      <c r="C23" s="49">
        <f>I2</f>
        <v>1</v>
      </c>
      <c r="D23" s="49">
        <f>J2</f>
        <v>1</v>
      </c>
      <c r="E23" s="447">
        <f>K2</f>
        <v>1</v>
      </c>
      <c r="F23" s="454">
        <f>IF(OR(mid1_b=constants!$A$4,mid1_b=constants!$A$5),0,-B8)</f>
        <v>-1</v>
      </c>
      <c r="G23" s="455">
        <f>IF(OR(mid1_b=constants!$A$4,mid1_b=constants!$A$5),0,-C8)</f>
        <v>-1</v>
      </c>
      <c r="H23" s="455">
        <f>IF(OR(mid1_b=constants!$A$4,mid1_b=constants!$A$5),0,-D8)</f>
        <v>-1</v>
      </c>
      <c r="I23" s="456">
        <f>IF(OR(mid1_b=constants!$A$4,mid1_b=constants!$A$5),0,-E8)</f>
        <v>-1</v>
      </c>
      <c r="J23" s="53">
        <v>0</v>
      </c>
      <c r="K23" s="53">
        <v>0</v>
      </c>
      <c r="L23" s="51">
        <v>0</v>
      </c>
      <c r="M23" s="54">
        <v>0</v>
      </c>
      <c r="N23" s="55">
        <f>IF(mid1_b=constants!$A$4,Main!E9,0)</f>
        <v>0</v>
      </c>
    </row>
    <row r="24" spans="1:14">
      <c r="A24" s="84"/>
      <c r="B24" s="64">
        <f>H3</f>
        <v>0</v>
      </c>
      <c r="C24" s="64">
        <f t="shared" ref="C24:E24" si="0">I3</f>
        <v>1</v>
      </c>
      <c r="D24" s="64">
        <f t="shared" si="0"/>
        <v>2</v>
      </c>
      <c r="E24" s="448">
        <f t="shared" si="0"/>
        <v>3</v>
      </c>
      <c r="F24" s="65">
        <f>-B9</f>
        <v>0</v>
      </c>
      <c r="G24" s="453">
        <f t="shared" ref="G24:I24" si="1">-C9</f>
        <v>-1</v>
      </c>
      <c r="H24" s="453">
        <f t="shared" si="1"/>
        <v>-2</v>
      </c>
      <c r="I24" s="457">
        <f t="shared" si="1"/>
        <v>-3</v>
      </c>
      <c r="J24" s="66">
        <v>0</v>
      </c>
      <c r="K24" s="66">
        <v>0</v>
      </c>
      <c r="L24" s="67">
        <v>0</v>
      </c>
      <c r="M24" s="68">
        <v>0</v>
      </c>
      <c r="N24" s="69">
        <v>0</v>
      </c>
    </row>
    <row r="25" spans="1:14">
      <c r="A25" s="84"/>
      <c r="B25" s="64">
        <f>H4</f>
        <v>0</v>
      </c>
      <c r="C25" s="64">
        <f t="shared" ref="C25:E25" si="2">I4</f>
        <v>0</v>
      </c>
      <c r="D25" s="64">
        <f t="shared" si="2"/>
        <v>2</v>
      </c>
      <c r="E25" s="448">
        <f t="shared" si="2"/>
        <v>6</v>
      </c>
      <c r="F25" s="65">
        <f>-B10</f>
        <v>0</v>
      </c>
      <c r="G25" s="453">
        <f t="shared" ref="G25:I25" si="3">-C10</f>
        <v>0</v>
      </c>
      <c r="H25" s="453">
        <f t="shared" si="3"/>
        <v>-2</v>
      </c>
      <c r="I25" s="457">
        <f t="shared" si="3"/>
        <v>-6</v>
      </c>
      <c r="J25" s="66">
        <v>0</v>
      </c>
      <c r="K25" s="66">
        <v>0</v>
      </c>
      <c r="L25" s="67">
        <v>0</v>
      </c>
      <c r="M25" s="68">
        <v>0</v>
      </c>
      <c r="N25" s="69">
        <v>0</v>
      </c>
    </row>
    <row r="26" spans="1:14" ht="15.75" thickBot="1">
      <c r="A26" s="23"/>
      <c r="B26" s="56">
        <f>IF(OR(mid1_b=constants!$A$3,mid1_b=constants!$A$2),H5,0)</f>
        <v>0</v>
      </c>
      <c r="C26" s="56">
        <f>IF(OR(mid1_b=constants!$A$3,mid1_b=constants!$A$2),I5,0)</f>
        <v>0</v>
      </c>
      <c r="D26" s="56">
        <f>IF(OR(mid1_b=constants!$A$3,mid1_b=constants!$A$2),J5,0)</f>
        <v>0</v>
      </c>
      <c r="E26" s="449">
        <f>IF(OR(mid1_b=constants!$A$3,mid1_b=constants!$A$2),K5,0)</f>
        <v>6</v>
      </c>
      <c r="F26" s="462">
        <f>IF(OR(mid1_b=constants!$A$3,mid1_b=constants!$A$2),-B11,B8)</f>
        <v>0</v>
      </c>
      <c r="G26" s="463">
        <f>IF(OR(mid1_b=constants!$A$3,mid1_b=constants!$A$2),-C11,C8)</f>
        <v>0</v>
      </c>
      <c r="H26" s="463">
        <f>IF(OR(mid1_b=constants!$A$3,mid1_b=constants!$A$2),-D11,D8)</f>
        <v>0</v>
      </c>
      <c r="I26" s="464">
        <f>IF(OR(mid1_b=constants!$A$3,mid1_b=constants!$A$2),-E11,E8)</f>
        <v>-6</v>
      </c>
      <c r="J26" s="71">
        <v>0</v>
      </c>
      <c r="K26" s="71">
        <v>0</v>
      </c>
      <c r="L26" s="72">
        <v>0</v>
      </c>
      <c r="M26" s="73">
        <v>0</v>
      </c>
      <c r="N26" s="62">
        <f>IF(mid1_b=constants!$A$3,Main!E7/constants!B12,IF(mid1_b=constants!$A$4,Main!E9,0))</f>
        <v>23.004370830457788</v>
      </c>
    </row>
    <row r="27" spans="1:14">
      <c r="A27" s="63" t="s">
        <v>101</v>
      </c>
      <c r="B27" s="74">
        <v>0</v>
      </c>
      <c r="C27" s="75">
        <v>0</v>
      </c>
      <c r="D27" s="75">
        <v>0</v>
      </c>
      <c r="E27" s="459">
        <v>0</v>
      </c>
      <c r="F27" s="454">
        <f>H8</f>
        <v>1</v>
      </c>
      <c r="G27" s="455">
        <f t="shared" ref="G27:I27" si="4">I8</f>
        <v>2</v>
      </c>
      <c r="H27" s="455">
        <f t="shared" si="4"/>
        <v>4</v>
      </c>
      <c r="I27" s="456">
        <f t="shared" si="4"/>
        <v>8</v>
      </c>
      <c r="J27" s="48">
        <f>IF(OR(mid2_b=constants!$A$4,mid2_b=constants!$A$5),0,-B14)</f>
        <v>0</v>
      </c>
      <c r="K27" s="48">
        <f>IF(OR(mid2_b=constants!$A$4,mid2_b=constants!$A$5),0,-C14)</f>
        <v>0</v>
      </c>
      <c r="L27" s="48">
        <f>IF(OR(mid2_b=constants!$A$4,mid2_b=constants!$A$5),0,-D14)</f>
        <v>0</v>
      </c>
      <c r="M27" s="48">
        <f>IF(OR(mid2_b=constants!$A$4,mid2_b=constants!$A$5),0,-E14)</f>
        <v>0</v>
      </c>
      <c r="N27" s="55">
        <f>IF(mid2_b=constants!$A$4,Main!G9,0)</f>
        <v>0</v>
      </c>
    </row>
    <row r="28" spans="1:14">
      <c r="A28" s="22"/>
      <c r="B28" s="66">
        <v>0</v>
      </c>
      <c r="C28" s="67">
        <v>0</v>
      </c>
      <c r="D28" s="67">
        <v>0</v>
      </c>
      <c r="E28" s="460">
        <v>0</v>
      </c>
      <c r="F28" s="65">
        <f>H9</f>
        <v>0</v>
      </c>
      <c r="G28" s="453">
        <f t="shared" ref="G28:I29" si="5">I9</f>
        <v>1</v>
      </c>
      <c r="H28" s="453">
        <f t="shared" si="5"/>
        <v>4</v>
      </c>
      <c r="I28" s="457">
        <f t="shared" si="5"/>
        <v>12</v>
      </c>
      <c r="J28" s="48">
        <f>-B15</f>
        <v>0</v>
      </c>
      <c r="K28" s="48">
        <f t="shared" ref="K28:M28" si="6">-C15</f>
        <v>-1</v>
      </c>
      <c r="L28" s="48">
        <f t="shared" si="6"/>
        <v>-4</v>
      </c>
      <c r="M28" s="48">
        <f t="shared" si="6"/>
        <v>-12</v>
      </c>
      <c r="N28" s="69">
        <v>0</v>
      </c>
    </row>
    <row r="29" spans="1:14">
      <c r="A29" s="22"/>
      <c r="B29" s="66">
        <v>0</v>
      </c>
      <c r="C29" s="67">
        <v>0</v>
      </c>
      <c r="D29" s="67">
        <v>0</v>
      </c>
      <c r="E29" s="460">
        <v>0</v>
      </c>
      <c r="F29" s="65">
        <f>H10</f>
        <v>0</v>
      </c>
      <c r="G29" s="453">
        <f t="shared" si="5"/>
        <v>0</v>
      </c>
      <c r="H29" s="453">
        <f t="shared" si="5"/>
        <v>2</v>
      </c>
      <c r="I29" s="457">
        <f t="shared" si="5"/>
        <v>12</v>
      </c>
      <c r="J29" s="64">
        <f>-B16</f>
        <v>0</v>
      </c>
      <c r="K29" s="64">
        <f t="shared" ref="K29:M29" si="7">-C16</f>
        <v>0</v>
      </c>
      <c r="L29" s="64">
        <f t="shared" si="7"/>
        <v>-2</v>
      </c>
      <c r="M29" s="64">
        <f t="shared" si="7"/>
        <v>-12</v>
      </c>
      <c r="N29" s="69">
        <v>0</v>
      </c>
    </row>
    <row r="30" spans="1:14" ht="15.75" thickBot="1">
      <c r="A30" s="23"/>
      <c r="B30" s="71">
        <v>0</v>
      </c>
      <c r="C30" s="72">
        <v>0</v>
      </c>
      <c r="D30" s="72">
        <v>0</v>
      </c>
      <c r="E30" s="461">
        <v>0</v>
      </c>
      <c r="F30" s="76">
        <f>IF(OR(mid2_b=constants!$A$3,mid2_b=constants!$A$2),H11,0)</f>
        <v>0</v>
      </c>
      <c r="G30" s="77">
        <f>IF(OR(mid2_b=constants!$A$3,mid2_b=constants!$A$2),I11,0)</f>
        <v>0</v>
      </c>
      <c r="H30" s="77">
        <f>IF(OR(mid2_b=constants!$A$3,mid2_b=constants!$A$2),J11,0)</f>
        <v>0</v>
      </c>
      <c r="I30" s="458">
        <f>IF(OR(mid2_b=constants!$A$3,mid2_b=constants!$A$2),K11,0)</f>
        <v>0</v>
      </c>
      <c r="J30" s="78">
        <f>IF(OR(mid2_b=constants!$A$3,mid2_b=constants!$A$2),-B17,B14)</f>
        <v>1</v>
      </c>
      <c r="K30" s="78">
        <f>IF(OR(mid2_b=constants!$A$3,mid2_b=constants!$A$2),-C17,C14)</f>
        <v>2</v>
      </c>
      <c r="L30" s="78">
        <f>IF(OR(mid2_b=constants!$A$3,mid2_b=constants!$A$2),-D17,D14)</f>
        <v>4</v>
      </c>
      <c r="M30" s="78">
        <f>IF(OR(mid2_b=constants!$A$3,mid2_b=constants!$A$2),-E17,E14)</f>
        <v>8</v>
      </c>
      <c r="N30" s="28">
        <f>IF(mid2_b=constants!$A$3,Main!G7/constants!B12,IF(mid2_b=constants!$A$4,Main!G9,0))</f>
        <v>0</v>
      </c>
    </row>
    <row r="31" spans="1:14">
      <c r="A31" s="63" t="s">
        <v>102</v>
      </c>
      <c r="B31" s="74">
        <v>0</v>
      </c>
      <c r="C31" s="75">
        <v>0</v>
      </c>
      <c r="D31" s="75">
        <v>0</v>
      </c>
      <c r="E31" s="80">
        <v>0</v>
      </c>
      <c r="F31" s="50">
        <v>0</v>
      </c>
      <c r="G31" s="51">
        <v>0</v>
      </c>
      <c r="H31" s="51">
        <v>0</v>
      </c>
      <c r="I31" s="52">
        <v>0</v>
      </c>
      <c r="J31" s="81">
        <f>IF(OR(right_b=constants!$A$4,right_b=constants!$A$5,right_b=constants!$A$7),H14,H17)</f>
        <v>0</v>
      </c>
      <c r="K31" s="81">
        <f>IF(OR(right_b=constants!$A$4,right_b=constants!$A$5,right_b=constants!$A$7),I14,I17)</f>
        <v>0</v>
      </c>
      <c r="L31" s="81">
        <f>IF(OR(right_b=constants!$A$4,right_b=constants!$A$5,right_b=constants!$A$7),J14,J17)</f>
        <v>0</v>
      </c>
      <c r="M31" s="81">
        <f>IF(OR(right_b=constants!$A$4,right_b=constants!$A$5,right_b=constants!$A$7),K14,K17)</f>
        <v>6</v>
      </c>
      <c r="N31" s="82">
        <f>IF(right_b=constants!$A$3,Main!I7/constants!B12,IF(right_b=constants!$A$4,Main!I9,0))</f>
        <v>0</v>
      </c>
    </row>
    <row r="32" spans="1:14" ht="15.75" thickBot="1">
      <c r="A32" s="23"/>
      <c r="B32" s="71">
        <v>0</v>
      </c>
      <c r="C32" s="72">
        <v>0</v>
      </c>
      <c r="D32" s="72">
        <v>0</v>
      </c>
      <c r="E32" s="73">
        <v>0</v>
      </c>
      <c r="F32" s="70">
        <v>0</v>
      </c>
      <c r="G32" s="72">
        <v>0</v>
      </c>
      <c r="H32" s="72">
        <v>0</v>
      </c>
      <c r="I32" s="83">
        <v>0</v>
      </c>
      <c r="J32" s="78">
        <f>IF(right_b = constants!$A$7,H15,H16)</f>
        <v>0</v>
      </c>
      <c r="K32" s="78">
        <f>IF(right_b =constants!$A$7,I15,I16)</f>
        <v>0</v>
      </c>
      <c r="L32" s="77">
        <f>IF(right_b = constants!$A$7,J15,J16)</f>
        <v>2</v>
      </c>
      <c r="M32" s="79">
        <f>IF(right_b = constants!$A$7,K15,K16)</f>
        <v>24</v>
      </c>
      <c r="N32" s="28">
        <v>0</v>
      </c>
    </row>
  </sheetData>
  <phoneticPr fontId="12" type="noConversion"/>
  <pageMargins left="0.7" right="0.7" top="0.75" bottom="0.75" header="0.3" footer="0.3"/>
  <pageSetup paperSize="9" orientation="portrait" r:id="rId1"/>
  <ignoredErrors>
    <ignoredError sqref="K32"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32"/>
  <sheetViews>
    <sheetView zoomScaleNormal="100" workbookViewId="0"/>
  </sheetViews>
  <sheetFormatPr defaultColWidth="35.5703125" defaultRowHeight="15"/>
  <cols>
    <col min="1" max="1" width="6.5703125" style="125" customWidth="1"/>
    <col min="2" max="2" width="35.5703125" style="336"/>
    <col min="3" max="3" width="36.42578125" style="337" customWidth="1"/>
    <col min="4" max="8" width="35.5703125" style="337"/>
    <col min="9" max="17" width="35.5703125" style="336"/>
    <col min="18" max="18" width="35.5703125" style="6"/>
    <col min="19" max="16384" width="35.5703125" style="4"/>
  </cols>
  <sheetData>
    <row r="1" spans="1:18" s="242" customFormat="1" ht="21.75" thickBot="1">
      <c r="A1" s="238"/>
      <c r="B1" s="239" t="s">
        <v>0</v>
      </c>
      <c r="C1" s="240" t="s">
        <v>209</v>
      </c>
      <c r="D1" s="240" t="s">
        <v>108</v>
      </c>
      <c r="E1" s="240" t="s">
        <v>109</v>
      </c>
      <c r="F1" s="240" t="s">
        <v>110</v>
      </c>
      <c r="G1" s="240" t="s">
        <v>134</v>
      </c>
      <c r="H1" s="240" t="s">
        <v>111</v>
      </c>
      <c r="I1" s="239" t="s">
        <v>112</v>
      </c>
      <c r="J1" s="239" t="s">
        <v>113</v>
      </c>
      <c r="K1" s="239" t="s">
        <v>114</v>
      </c>
      <c r="L1" s="239" t="s">
        <v>115</v>
      </c>
      <c r="M1" s="239" t="s">
        <v>116</v>
      </c>
      <c r="N1" s="239" t="s">
        <v>117</v>
      </c>
      <c r="O1" s="239" t="s">
        <v>118</v>
      </c>
      <c r="P1" s="239" t="s">
        <v>119</v>
      </c>
      <c r="Q1" s="239" t="s">
        <v>104</v>
      </c>
      <c r="R1" s="241" t="s">
        <v>105</v>
      </c>
    </row>
    <row r="2" spans="1:18" s="247" customFormat="1">
      <c r="A2" s="243"/>
      <c r="B2" s="244" t="s">
        <v>36</v>
      </c>
      <c r="C2" s="245" t="s">
        <v>180</v>
      </c>
      <c r="D2" s="245"/>
      <c r="E2" s="245" t="s">
        <v>219</v>
      </c>
      <c r="F2" s="245"/>
      <c r="G2" s="245" t="s">
        <v>135</v>
      </c>
      <c r="H2" s="245"/>
      <c r="I2" s="244"/>
      <c r="J2" s="244"/>
      <c r="K2" s="244"/>
      <c r="L2" s="244"/>
      <c r="M2" s="244"/>
      <c r="N2" s="244"/>
      <c r="O2" s="244"/>
      <c r="P2" s="244"/>
      <c r="Q2" s="244"/>
      <c r="R2" s="246"/>
    </row>
    <row r="3" spans="1:18" s="252" customFormat="1" ht="15.75" thickBot="1">
      <c r="A3" s="248"/>
      <c r="B3" s="249" t="s">
        <v>37</v>
      </c>
      <c r="C3" s="250" t="s">
        <v>181</v>
      </c>
      <c r="D3" s="250"/>
      <c r="E3" s="250" t="s">
        <v>220</v>
      </c>
      <c r="F3" s="250"/>
      <c r="G3" s="415" t="s">
        <v>173</v>
      </c>
      <c r="H3" s="250"/>
      <c r="I3" s="249"/>
      <c r="J3" s="249"/>
      <c r="K3" s="249"/>
      <c r="L3" s="249"/>
      <c r="M3" s="249"/>
      <c r="N3" s="249"/>
      <c r="O3" s="249"/>
      <c r="P3" s="249"/>
      <c r="Q3" s="249"/>
      <c r="R3" s="251"/>
    </row>
    <row r="4" spans="1:18" s="257" customFormat="1">
      <c r="A4" s="253"/>
      <c r="B4" s="254" t="s">
        <v>38</v>
      </c>
      <c r="C4" s="255" t="s">
        <v>182</v>
      </c>
      <c r="D4" s="255"/>
      <c r="E4" s="255" t="s">
        <v>221</v>
      </c>
      <c r="F4" s="255"/>
      <c r="G4" s="410" t="s">
        <v>165</v>
      </c>
      <c r="H4" s="255"/>
      <c r="I4" s="254"/>
      <c r="J4" s="254"/>
      <c r="K4" s="254"/>
      <c r="L4" s="254"/>
      <c r="M4" s="254"/>
      <c r="N4" s="254"/>
      <c r="O4" s="254"/>
      <c r="P4" s="254"/>
      <c r="Q4" s="254"/>
      <c r="R4" s="256"/>
    </row>
    <row r="5" spans="1:18" s="262" customFormat="1">
      <c r="A5" s="258"/>
      <c r="B5" s="259" t="s">
        <v>6</v>
      </c>
      <c r="C5" s="260" t="s">
        <v>183</v>
      </c>
      <c r="D5" s="260"/>
      <c r="E5" s="260" t="s">
        <v>222</v>
      </c>
      <c r="F5" s="260"/>
      <c r="G5" s="412" t="s">
        <v>168</v>
      </c>
      <c r="H5" s="260"/>
      <c r="I5" s="259"/>
      <c r="J5" s="259"/>
      <c r="K5" s="259"/>
      <c r="L5" s="259"/>
      <c r="M5" s="259"/>
      <c r="N5" s="259"/>
      <c r="O5" s="259"/>
      <c r="P5" s="259"/>
      <c r="Q5" s="259"/>
      <c r="R5" s="261"/>
    </row>
    <row r="6" spans="1:18" s="262" customFormat="1">
      <c r="A6" s="258"/>
      <c r="B6" s="259" t="s">
        <v>39</v>
      </c>
      <c r="C6" s="260" t="s">
        <v>184</v>
      </c>
      <c r="D6" s="260"/>
      <c r="E6" s="260" t="s">
        <v>223</v>
      </c>
      <c r="F6" s="260"/>
      <c r="G6" s="412" t="s">
        <v>169</v>
      </c>
      <c r="H6" s="260"/>
      <c r="I6" s="259"/>
      <c r="J6" s="259"/>
      <c r="K6" s="259"/>
      <c r="L6" s="259"/>
      <c r="M6" s="259"/>
      <c r="N6" s="259"/>
      <c r="O6" s="259"/>
      <c r="P6" s="259"/>
      <c r="Q6" s="259"/>
      <c r="R6" s="261"/>
    </row>
    <row r="7" spans="1:18" s="262" customFormat="1">
      <c r="A7" s="258"/>
      <c r="B7" s="259" t="s">
        <v>40</v>
      </c>
      <c r="C7" s="260" t="s">
        <v>185</v>
      </c>
      <c r="D7" s="260"/>
      <c r="E7" s="260" t="s">
        <v>185</v>
      </c>
      <c r="F7" s="260"/>
      <c r="G7" s="412" t="s">
        <v>170</v>
      </c>
      <c r="H7" s="260"/>
      <c r="I7" s="259"/>
      <c r="J7" s="259"/>
      <c r="K7" s="259"/>
      <c r="L7" s="259"/>
      <c r="M7" s="259"/>
      <c r="N7" s="259"/>
      <c r="O7" s="259"/>
      <c r="P7" s="259"/>
      <c r="Q7" s="259"/>
      <c r="R7" s="261"/>
    </row>
    <row r="8" spans="1:18" s="262" customFormat="1">
      <c r="A8" s="258"/>
      <c r="B8" s="259" t="s">
        <v>107</v>
      </c>
      <c r="C8" s="260" t="s">
        <v>186</v>
      </c>
      <c r="D8" s="260"/>
      <c r="E8" s="260" t="s">
        <v>224</v>
      </c>
      <c r="F8" s="260"/>
      <c r="G8" s="412" t="s">
        <v>171</v>
      </c>
      <c r="H8" s="260"/>
      <c r="I8" s="259"/>
      <c r="J8" s="259"/>
      <c r="K8" s="259"/>
      <c r="L8" s="259"/>
      <c r="M8" s="259"/>
      <c r="N8" s="259"/>
      <c r="O8" s="259"/>
      <c r="P8" s="259"/>
      <c r="Q8" s="259"/>
      <c r="R8" s="261"/>
    </row>
    <row r="9" spans="1:18" s="262" customFormat="1">
      <c r="A9" s="258"/>
      <c r="B9" s="259" t="s">
        <v>41</v>
      </c>
      <c r="C9" s="260" t="s">
        <v>187</v>
      </c>
      <c r="D9" s="260"/>
      <c r="E9" s="260" t="s">
        <v>225</v>
      </c>
      <c r="F9" s="260"/>
      <c r="G9" s="414" t="s">
        <v>172</v>
      </c>
      <c r="H9" s="260"/>
      <c r="I9" s="259"/>
      <c r="J9" s="259"/>
      <c r="K9" s="259"/>
      <c r="L9" s="259"/>
      <c r="M9" s="259"/>
      <c r="N9" s="259"/>
      <c r="O9" s="259"/>
      <c r="P9" s="259"/>
      <c r="Q9" s="259"/>
      <c r="R9" s="261"/>
    </row>
    <row r="10" spans="1:18" s="267" customFormat="1" ht="15.75" thickBot="1">
      <c r="A10" s="263"/>
      <c r="B10" s="264" t="s">
        <v>5</v>
      </c>
      <c r="C10" s="265" t="s">
        <v>188</v>
      </c>
      <c r="D10" s="265"/>
      <c r="E10" s="265" t="s">
        <v>226</v>
      </c>
      <c r="F10" s="265"/>
      <c r="G10" s="413" t="s">
        <v>174</v>
      </c>
      <c r="H10" s="265"/>
      <c r="I10" s="264"/>
      <c r="J10" s="264"/>
      <c r="K10" s="264"/>
      <c r="L10" s="264"/>
      <c r="M10" s="264"/>
      <c r="N10" s="264"/>
      <c r="O10" s="264"/>
      <c r="P10" s="264"/>
      <c r="Q10" s="264"/>
      <c r="R10" s="266"/>
    </row>
    <row r="11" spans="1:18" s="272" customFormat="1">
      <c r="A11" s="268"/>
      <c r="B11" s="269" t="s">
        <v>25</v>
      </c>
      <c r="C11" s="270" t="s">
        <v>189</v>
      </c>
      <c r="D11" s="270"/>
      <c r="E11" s="270" t="s">
        <v>227</v>
      </c>
      <c r="F11" s="270"/>
      <c r="G11" s="270" t="s">
        <v>136</v>
      </c>
      <c r="H11" s="270"/>
      <c r="I11" s="269"/>
      <c r="J11" s="269"/>
      <c r="K11" s="269"/>
      <c r="L11" s="269"/>
      <c r="M11" s="269"/>
      <c r="N11" s="269"/>
      <c r="O11" s="269"/>
      <c r="P11" s="269"/>
      <c r="Q11" s="269"/>
      <c r="R11" s="271"/>
    </row>
    <row r="12" spans="1:18" s="276" customFormat="1">
      <c r="A12" s="1" t="s">
        <v>27</v>
      </c>
      <c r="B12" s="273" t="s">
        <v>120</v>
      </c>
      <c r="C12" s="274" t="s">
        <v>190</v>
      </c>
      <c r="D12" s="274"/>
      <c r="E12" s="274" t="s">
        <v>228</v>
      </c>
      <c r="F12" s="274"/>
      <c r="G12" s="274" t="s">
        <v>149</v>
      </c>
      <c r="H12" s="274"/>
      <c r="I12" s="273"/>
      <c r="J12" s="273"/>
      <c r="K12" s="273"/>
      <c r="L12" s="273"/>
      <c r="M12" s="273"/>
      <c r="N12" s="273"/>
      <c r="O12" s="273"/>
      <c r="P12" s="273"/>
      <c r="Q12" s="273"/>
      <c r="R12" s="275"/>
    </row>
    <row r="13" spans="1:18" s="277" customFormat="1" ht="16.5" customHeight="1">
      <c r="A13" s="20" t="s">
        <v>248</v>
      </c>
      <c r="B13" s="273" t="s">
        <v>20</v>
      </c>
      <c r="C13" s="274" t="s">
        <v>191</v>
      </c>
      <c r="D13" s="274"/>
      <c r="E13" s="274" t="s">
        <v>229</v>
      </c>
      <c r="F13" s="274"/>
      <c r="G13" s="411" t="s">
        <v>174</v>
      </c>
      <c r="H13" s="274"/>
      <c r="I13" s="273"/>
      <c r="J13" s="273"/>
      <c r="K13" s="273"/>
      <c r="L13" s="273"/>
      <c r="M13" s="273"/>
      <c r="N13" s="273"/>
      <c r="O13" s="273"/>
      <c r="P13" s="273"/>
      <c r="Q13" s="273"/>
      <c r="R13" s="275"/>
    </row>
    <row r="14" spans="1:18" s="276" customFormat="1">
      <c r="A14" s="1" t="s">
        <v>29</v>
      </c>
      <c r="B14" s="273" t="s">
        <v>21</v>
      </c>
      <c r="C14" s="274" t="s">
        <v>192</v>
      </c>
      <c r="D14" s="274"/>
      <c r="E14" s="274" t="s">
        <v>230</v>
      </c>
      <c r="F14" s="274"/>
      <c r="G14" s="274" t="s">
        <v>137</v>
      </c>
      <c r="H14" s="274"/>
      <c r="I14" s="273"/>
      <c r="J14" s="273"/>
      <c r="K14" s="273"/>
      <c r="L14" s="273"/>
      <c r="M14" s="273"/>
      <c r="N14" s="273"/>
      <c r="O14" s="273"/>
      <c r="P14" s="273"/>
      <c r="Q14" s="273"/>
      <c r="R14" s="275"/>
    </row>
    <row r="15" spans="1:18" s="276" customFormat="1">
      <c r="A15" s="1" t="s">
        <v>178</v>
      </c>
      <c r="B15" s="273" t="s">
        <v>35</v>
      </c>
      <c r="C15" s="274" t="s">
        <v>193</v>
      </c>
      <c r="D15" s="274"/>
      <c r="E15" s="274" t="s">
        <v>231</v>
      </c>
      <c r="F15" s="274"/>
      <c r="G15" s="411" t="s">
        <v>167</v>
      </c>
      <c r="H15" s="274"/>
      <c r="I15" s="273"/>
      <c r="J15" s="273"/>
      <c r="K15" s="273"/>
      <c r="L15" s="273"/>
      <c r="M15" s="273"/>
      <c r="N15" s="273"/>
      <c r="O15" s="273"/>
      <c r="P15" s="273"/>
      <c r="Q15" s="273"/>
      <c r="R15" s="275"/>
    </row>
    <row r="16" spans="1:18" s="276" customFormat="1">
      <c r="A16" s="1" t="s">
        <v>31</v>
      </c>
      <c r="B16" s="273" t="s">
        <v>22</v>
      </c>
      <c r="C16" s="274" t="s">
        <v>194</v>
      </c>
      <c r="D16" s="274"/>
      <c r="E16" s="274" t="s">
        <v>232</v>
      </c>
      <c r="F16" s="274"/>
      <c r="G16" s="411" t="s">
        <v>166</v>
      </c>
      <c r="H16" s="274"/>
      <c r="I16" s="273"/>
      <c r="J16" s="273"/>
      <c r="K16" s="273"/>
      <c r="L16" s="273"/>
      <c r="M16" s="273"/>
      <c r="N16" s="273"/>
      <c r="O16" s="273"/>
      <c r="P16" s="273"/>
      <c r="Q16" s="273"/>
      <c r="R16" s="275"/>
    </row>
    <row r="17" spans="1:18" s="276" customFormat="1">
      <c r="A17" s="1" t="s">
        <v>71</v>
      </c>
      <c r="B17" s="273" t="s">
        <v>23</v>
      </c>
      <c r="C17" s="274" t="s">
        <v>195</v>
      </c>
      <c r="D17" s="274"/>
      <c r="E17" s="274" t="s">
        <v>233</v>
      </c>
      <c r="F17" s="274"/>
      <c r="G17" s="274" t="s">
        <v>138</v>
      </c>
      <c r="H17" s="274"/>
      <c r="I17" s="273"/>
      <c r="J17" s="273"/>
      <c r="K17" s="273"/>
      <c r="L17" s="273"/>
      <c r="M17" s="273"/>
      <c r="N17" s="273"/>
      <c r="O17" s="273"/>
      <c r="P17" s="273"/>
      <c r="Q17" s="273"/>
      <c r="R17" s="275"/>
    </row>
    <row r="18" spans="1:18" s="281" customFormat="1" ht="15.75" thickBot="1">
      <c r="A18" s="19" t="s">
        <v>73</v>
      </c>
      <c r="B18" s="278" t="s">
        <v>24</v>
      </c>
      <c r="C18" s="279" t="s">
        <v>196</v>
      </c>
      <c r="D18" s="279"/>
      <c r="E18" s="279" t="s">
        <v>234</v>
      </c>
      <c r="F18" s="279"/>
      <c r="G18" s="279" t="s">
        <v>139</v>
      </c>
      <c r="H18" s="279"/>
      <c r="I18" s="278"/>
      <c r="J18" s="278"/>
      <c r="K18" s="278"/>
      <c r="L18" s="278"/>
      <c r="M18" s="278"/>
      <c r="N18" s="278"/>
      <c r="O18" s="278"/>
      <c r="P18" s="278"/>
      <c r="Q18" s="278"/>
      <c r="R18" s="280"/>
    </row>
    <row r="19" spans="1:18" s="286" customFormat="1">
      <c r="A19" s="282"/>
      <c r="B19" s="283" t="s">
        <v>42</v>
      </c>
      <c r="C19" s="284" t="s">
        <v>197</v>
      </c>
      <c r="D19" s="284"/>
      <c r="E19" s="284" t="s">
        <v>235</v>
      </c>
      <c r="F19" s="284"/>
      <c r="G19" s="284" t="s">
        <v>140</v>
      </c>
      <c r="H19" s="284"/>
      <c r="I19" s="283"/>
      <c r="J19" s="283"/>
      <c r="K19" s="283"/>
      <c r="L19" s="283"/>
      <c r="M19" s="283"/>
      <c r="N19" s="283"/>
      <c r="O19" s="283"/>
      <c r="P19" s="283"/>
      <c r="Q19" s="283"/>
      <c r="R19" s="285"/>
    </row>
    <row r="20" spans="1:18" s="291" customFormat="1">
      <c r="A20" s="287" t="s">
        <v>43</v>
      </c>
      <c r="B20" s="288" t="s">
        <v>44</v>
      </c>
      <c r="C20" s="289" t="s">
        <v>198</v>
      </c>
      <c r="D20" s="289"/>
      <c r="E20" s="289" t="s">
        <v>236</v>
      </c>
      <c r="F20" s="289"/>
      <c r="G20" s="289" t="s">
        <v>141</v>
      </c>
      <c r="H20" s="289"/>
      <c r="I20" s="288"/>
      <c r="J20" s="288"/>
      <c r="K20" s="288"/>
      <c r="L20" s="288"/>
      <c r="M20" s="288"/>
      <c r="N20" s="288"/>
      <c r="O20" s="288"/>
      <c r="P20" s="288"/>
      <c r="Q20" s="288"/>
      <c r="R20" s="290"/>
    </row>
    <row r="21" spans="1:18" s="296" customFormat="1" ht="15.75" thickBot="1">
      <c r="A21" s="292" t="s">
        <v>45</v>
      </c>
      <c r="B21" s="293" t="s">
        <v>46</v>
      </c>
      <c r="C21" s="294" t="s">
        <v>46</v>
      </c>
      <c r="D21" s="294"/>
      <c r="E21" s="294" t="s">
        <v>46</v>
      </c>
      <c r="F21" s="294"/>
      <c r="G21" s="294" t="s">
        <v>142</v>
      </c>
      <c r="H21" s="294"/>
      <c r="I21" s="293"/>
      <c r="J21" s="293"/>
      <c r="K21" s="293"/>
      <c r="L21" s="293"/>
      <c r="M21" s="293"/>
      <c r="N21" s="293"/>
      <c r="O21" s="293"/>
      <c r="P21" s="293"/>
      <c r="Q21" s="293"/>
      <c r="R21" s="295"/>
    </row>
    <row r="22" spans="1:18" s="301" customFormat="1">
      <c r="A22" s="297"/>
      <c r="B22" s="298" t="s">
        <v>13</v>
      </c>
      <c r="C22" s="299" t="s">
        <v>199</v>
      </c>
      <c r="D22" s="299"/>
      <c r="E22" s="299" t="s">
        <v>237</v>
      </c>
      <c r="F22" s="299"/>
      <c r="G22" s="299" t="s">
        <v>143</v>
      </c>
      <c r="H22" s="299"/>
      <c r="I22" s="298"/>
      <c r="J22" s="298"/>
      <c r="K22" s="298"/>
      <c r="L22" s="298"/>
      <c r="M22" s="298"/>
      <c r="N22" s="298"/>
      <c r="O22" s="298"/>
      <c r="P22" s="298"/>
      <c r="Q22" s="298"/>
      <c r="R22" s="300"/>
    </row>
    <row r="23" spans="1:18" s="306" customFormat="1">
      <c r="A23" s="302"/>
      <c r="B23" s="303" t="s">
        <v>14</v>
      </c>
      <c r="C23" s="304" t="s">
        <v>200</v>
      </c>
      <c r="D23" s="304"/>
      <c r="E23" s="304" t="s">
        <v>238</v>
      </c>
      <c r="F23" s="304"/>
      <c r="G23" s="304" t="s">
        <v>144</v>
      </c>
      <c r="H23" s="304"/>
      <c r="I23" s="303"/>
      <c r="J23" s="303"/>
      <c r="K23" s="303"/>
      <c r="L23" s="303"/>
      <c r="M23" s="303"/>
      <c r="N23" s="303"/>
      <c r="O23" s="303"/>
      <c r="P23" s="303"/>
      <c r="Q23" s="303"/>
      <c r="R23" s="305"/>
    </row>
    <row r="24" spans="1:18" s="311" customFormat="1">
      <c r="A24" s="307"/>
      <c r="B24" s="308" t="s">
        <v>15</v>
      </c>
      <c r="C24" s="309" t="s">
        <v>201</v>
      </c>
      <c r="D24" s="309"/>
      <c r="E24" s="309" t="s">
        <v>15</v>
      </c>
      <c r="F24" s="309"/>
      <c r="G24" s="309" t="s">
        <v>145</v>
      </c>
      <c r="H24" s="309"/>
      <c r="I24" s="308"/>
      <c r="J24" s="308"/>
      <c r="K24" s="308"/>
      <c r="L24" s="308"/>
      <c r="M24" s="308"/>
      <c r="N24" s="308"/>
      <c r="O24" s="308"/>
      <c r="P24" s="308"/>
      <c r="Q24" s="308"/>
      <c r="R24" s="310"/>
    </row>
    <row r="25" spans="1:18" s="311" customFormat="1">
      <c r="A25" s="307" t="s">
        <v>67</v>
      </c>
      <c r="B25" s="308" t="s">
        <v>17</v>
      </c>
      <c r="C25" s="309" t="s">
        <v>202</v>
      </c>
      <c r="D25" s="309"/>
      <c r="E25" s="309" t="s">
        <v>239</v>
      </c>
      <c r="F25" s="309"/>
      <c r="G25" s="309" t="s">
        <v>151</v>
      </c>
      <c r="H25" s="309"/>
      <c r="I25" s="308"/>
      <c r="J25" s="308"/>
      <c r="K25" s="308"/>
      <c r="L25" s="308"/>
      <c r="M25" s="308"/>
      <c r="N25" s="308"/>
      <c r="O25" s="308"/>
      <c r="P25" s="308"/>
      <c r="Q25" s="308"/>
      <c r="R25" s="310"/>
    </row>
    <row r="26" spans="1:18" s="316" customFormat="1" ht="15.75" thickBot="1">
      <c r="A26" s="312" t="s">
        <v>66</v>
      </c>
      <c r="B26" s="313" t="s">
        <v>16</v>
      </c>
      <c r="C26" s="314" t="s">
        <v>203</v>
      </c>
      <c r="D26" s="314"/>
      <c r="E26" s="314" t="s">
        <v>240</v>
      </c>
      <c r="F26" s="314"/>
      <c r="G26" s="314" t="s">
        <v>152</v>
      </c>
      <c r="H26" s="314"/>
      <c r="I26" s="313"/>
      <c r="J26" s="313"/>
      <c r="K26" s="313"/>
      <c r="L26" s="313"/>
      <c r="M26" s="313"/>
      <c r="N26" s="313"/>
      <c r="O26" s="313"/>
      <c r="P26" s="313"/>
      <c r="Q26" s="313"/>
      <c r="R26" s="315"/>
    </row>
    <row r="27" spans="1:18" s="321" customFormat="1">
      <c r="A27" s="317"/>
      <c r="B27" s="318" t="s">
        <v>47</v>
      </c>
      <c r="C27" s="319" t="s">
        <v>204</v>
      </c>
      <c r="D27" s="319"/>
      <c r="E27" s="319" t="s">
        <v>241</v>
      </c>
      <c r="F27" s="319"/>
      <c r="G27" s="319" t="s">
        <v>146</v>
      </c>
      <c r="H27" s="319"/>
      <c r="I27" s="318"/>
      <c r="J27" s="318"/>
      <c r="K27" s="318"/>
      <c r="L27" s="318"/>
      <c r="M27" s="318"/>
      <c r="N27" s="318"/>
      <c r="O27" s="318"/>
      <c r="P27" s="318"/>
      <c r="Q27" s="318"/>
      <c r="R27" s="320"/>
    </row>
    <row r="28" spans="1:18" s="325" customFormat="1">
      <c r="A28" s="407" t="s">
        <v>162</v>
      </c>
      <c r="B28" s="322" t="s">
        <v>122</v>
      </c>
      <c r="C28" s="323" t="s">
        <v>205</v>
      </c>
      <c r="D28" s="323"/>
      <c r="E28" s="323" t="s">
        <v>242</v>
      </c>
      <c r="F28" s="323"/>
      <c r="G28" s="323" t="s">
        <v>150</v>
      </c>
      <c r="H28" s="323"/>
      <c r="I28" s="322"/>
      <c r="J28" s="322"/>
      <c r="K28" s="322"/>
      <c r="L28" s="322"/>
      <c r="M28" s="322"/>
      <c r="N28" s="322"/>
      <c r="O28" s="322"/>
      <c r="P28" s="322"/>
      <c r="Q28" s="322"/>
      <c r="R28" s="324"/>
    </row>
    <row r="29" spans="1:18" s="330" customFormat="1">
      <c r="A29" s="326" t="s">
        <v>161</v>
      </c>
      <c r="B29" s="327" t="s">
        <v>218</v>
      </c>
      <c r="C29" s="328" t="s">
        <v>206</v>
      </c>
      <c r="D29" s="328"/>
      <c r="E29" s="328" t="s">
        <v>243</v>
      </c>
      <c r="F29" s="328"/>
      <c r="G29" s="328" t="s">
        <v>147</v>
      </c>
      <c r="H29" s="328"/>
      <c r="I29" s="327"/>
      <c r="J29" s="327"/>
      <c r="K29" s="327"/>
      <c r="L29" s="327"/>
      <c r="M29" s="327"/>
      <c r="N29" s="327"/>
      <c r="O29" s="327"/>
      <c r="P29" s="327"/>
      <c r="Q29" s="327"/>
      <c r="R29" s="329"/>
    </row>
    <row r="30" spans="1:18" s="330" customFormat="1">
      <c r="A30" s="406" t="s">
        <v>160</v>
      </c>
      <c r="B30" s="327" t="s">
        <v>48</v>
      </c>
      <c r="C30" s="328" t="s">
        <v>48</v>
      </c>
      <c r="D30" s="328"/>
      <c r="E30" s="328" t="s">
        <v>244</v>
      </c>
      <c r="F30" s="328"/>
      <c r="G30" s="328" t="s">
        <v>148</v>
      </c>
      <c r="H30" s="328"/>
      <c r="I30" s="327"/>
      <c r="J30" s="327"/>
      <c r="K30" s="327"/>
      <c r="L30" s="327"/>
      <c r="M30" s="327"/>
      <c r="N30" s="327"/>
      <c r="O30" s="327"/>
      <c r="P30" s="327"/>
      <c r="Q30" s="327"/>
      <c r="R30" s="329"/>
    </row>
    <row r="31" spans="1:18" s="330" customFormat="1">
      <c r="A31" s="326"/>
      <c r="B31" s="327" t="s">
        <v>68</v>
      </c>
      <c r="C31" s="328" t="s">
        <v>207</v>
      </c>
      <c r="D31" s="328"/>
      <c r="E31" s="328" t="s">
        <v>245</v>
      </c>
      <c r="F31" s="328"/>
      <c r="G31" s="409" t="s">
        <v>164</v>
      </c>
      <c r="H31" s="328"/>
      <c r="I31" s="327"/>
      <c r="J31" s="327"/>
      <c r="K31" s="327"/>
      <c r="L31" s="327"/>
      <c r="M31" s="327"/>
      <c r="N31" s="327"/>
      <c r="O31" s="327"/>
      <c r="P31" s="327"/>
      <c r="Q31" s="327"/>
      <c r="R31" s="329"/>
    </row>
    <row r="32" spans="1:18" s="335" customFormat="1" ht="15.75" thickBot="1">
      <c r="A32" s="331" t="s">
        <v>159</v>
      </c>
      <c r="B32" s="332" t="s">
        <v>121</v>
      </c>
      <c r="C32" s="333" t="s">
        <v>208</v>
      </c>
      <c r="D32" s="333"/>
      <c r="E32" s="333" t="s">
        <v>246</v>
      </c>
      <c r="F32" s="333"/>
      <c r="G32" s="408" t="s">
        <v>163</v>
      </c>
      <c r="H32" s="333"/>
      <c r="I32" s="332"/>
      <c r="J32" s="332"/>
      <c r="K32" s="332"/>
      <c r="L32" s="332"/>
      <c r="M32" s="332"/>
      <c r="N32" s="332"/>
      <c r="O32" s="332"/>
      <c r="P32" s="332"/>
      <c r="Q32" s="332"/>
      <c r="R32" s="334"/>
    </row>
  </sheetData>
  <phoneticPr fontId="10" type="noConversion"/>
  <pageMargins left="0.69930555555555596" right="0.69930555555555596"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O18"/>
  <sheetViews>
    <sheetView topLeftCell="A16" zoomScale="150" zoomScaleNormal="150" workbookViewId="0">
      <selection activeCell="E8" sqref="E8"/>
    </sheetView>
  </sheetViews>
  <sheetFormatPr defaultColWidth="9" defaultRowHeight="15"/>
  <cols>
    <col min="1" max="1" width="18.7109375" style="4" customWidth="1"/>
    <col min="2" max="5" width="9" style="4"/>
    <col min="6" max="6" width="9" style="4" customWidth="1"/>
    <col min="7" max="9" width="9" style="4"/>
    <col min="10" max="10" width="9.42578125" style="4" customWidth="1"/>
    <col min="11" max="16384" width="9" style="4"/>
  </cols>
  <sheetData>
    <row r="1" spans="1:15" ht="19.5" thickBot="1">
      <c r="A1" s="338" t="s">
        <v>69</v>
      </c>
      <c r="B1" s="11"/>
      <c r="C1" s="11"/>
      <c r="D1" s="11"/>
      <c r="E1" s="11"/>
      <c r="F1" s="338" t="s">
        <v>70</v>
      </c>
      <c r="G1" s="11"/>
      <c r="H1" s="11"/>
      <c r="I1" s="11"/>
      <c r="J1" s="11"/>
      <c r="K1" s="11"/>
      <c r="L1" s="12"/>
      <c r="N1" s="89" t="s">
        <v>156</v>
      </c>
    </row>
    <row r="2" spans="1:15">
      <c r="A2" s="434" t="str">
        <f>IF(constants!$B$10="English",Language!B8,IF(constants!$B$10=Language!$G$1,Language!G8,IF(constants!$B$10=Language!$C$1,Language!C8,IF(constants!$B$10=Language!$D$1,Language!D8,IF(constants!$B$10=Language!$E$1,Language!E8,IF(constants!$B$10=Language!$F$1,Language!F8,IF(constants!$B$10=Language!$H$1,Language!H8,IF(constants!$B$10=Language!$I$1,Language!I8,IF(constants!$B$10=Language!$J$1,Language!J8,IF(constants!$B$10=Language!$K$1,Language!K8,IF(constants!$B$10=Language!$L$1,Language!L8,IF(constants!$B$10=Language!$M$1,Language!M8,IF(constants!$B$10=Language!$N$1,Language!N8,IF(constants!$B$10=Language!$O$1,Language!O8,IF(constants!$B$10=Language!$P$1,Language!P8,IF(constants!$B$10=Language!$Q$1,Language!Q8,IF(constants!$B$10=Language!$R$1,Language!R8," ")))))))))))))))))</f>
        <v>No Load</v>
      </c>
      <c r="B2" s="430" t="str">
        <f>IF(B1=0," ",1)</f>
        <v xml:space="preserve"> </v>
      </c>
      <c r="C2" s="424" t="str">
        <f t="shared" ref="C2:D2" si="0">IF(C1=0," ",1)</f>
        <v xml:space="preserve"> </v>
      </c>
      <c r="D2" s="339" t="str">
        <f t="shared" si="0"/>
        <v xml:space="preserve"> </v>
      </c>
      <c r="E2" s="4">
        <f>IF(OR(left_b=constants!A7,right_b=constants!A7),2,0)</f>
        <v>2</v>
      </c>
      <c r="F2" s="340" t="s">
        <v>34</v>
      </c>
      <c r="G2" s="341" t="s">
        <v>20</v>
      </c>
      <c r="H2" s="341" t="s">
        <v>21</v>
      </c>
      <c r="I2" s="341" t="s">
        <v>35</v>
      </c>
      <c r="J2" s="341" t="s">
        <v>22</v>
      </c>
      <c r="K2" s="341" t="s">
        <v>23</v>
      </c>
      <c r="L2" s="342" t="s">
        <v>24</v>
      </c>
      <c r="N2" s="360" t="s">
        <v>20</v>
      </c>
      <c r="O2" s="352">
        <v>1</v>
      </c>
    </row>
    <row r="3" spans="1:15" ht="18.75">
      <c r="A3" s="428" t="str">
        <f>IF(constants!$B$10="English",Language!B9,IF(constants!$B$10=Language!$G$1,Language!G9,IF(constants!$B$10=Language!$C$1,Language!C9,IF(constants!$B$10=Language!$D$1,Language!D9,IF(constants!$B$10=Language!$E$1,Language!E9,IF(constants!$B$10=Language!$F$1,Language!F9,IF(constants!$B$10=Language!$H$1,Language!H9,IF(constants!$B$10=Language!$I$1,Language!I9,IF(constants!$B$10=Language!$J$1,Language!J9,IF(constants!$B$10=Language!$K$1,Language!K9,IF(constants!$B$10=Language!$L$1,Language!L9,IF(constants!$B$10=Language!$M$1,Language!M9,IF(constants!$B$10=Language!$N$1,Language!N9,IF(constants!$B$10=Language!$O$1,Language!O9,IF(constants!$B$10=Language!$P$1,Language!P9,IF(constants!$B$10=Language!$Q$1,Language!Q9,IF(constants!$B$10=Language!$R$1,Language!R9," ")))))))))))))))))</f>
        <v>Specified Load</v>
      </c>
      <c r="B3" s="431" t="s">
        <v>11</v>
      </c>
      <c r="C3" s="427" t="str">
        <f>IF(C1=0," ",1)</f>
        <v xml:space="preserve"> </v>
      </c>
      <c r="D3" s="343" t="str">
        <f>IF(C1=0," ",1)</f>
        <v xml:space="preserve"> </v>
      </c>
      <c r="E3" s="4">
        <f>IF(OR(left_b=constants!A5,left_b=constants!A4),1,0)</f>
        <v>0</v>
      </c>
      <c r="F3" s="344">
        <f>Main!C6</f>
        <v>0</v>
      </c>
      <c r="G3" s="345">
        <f>INDEX('Plotting Data'!$C$3:$C$502,MATCH($F3,'Plotting Data'!B$3:B$502,1))</f>
        <v>0</v>
      </c>
      <c r="H3" s="345">
        <f>INDEX('Plotting Data'!D$3:D$506,MATCH($F3,'Plotting Data'!B$3:B$506,1))</f>
        <v>0</v>
      </c>
      <c r="I3" s="345">
        <f>INDEX('Plotting Data'!E$3:E$502,MATCH($F3,'Plotting Data'!B$3:B$502,1))</f>
        <v>-8.6266390614216704</v>
      </c>
      <c r="J3" s="345">
        <f>INDEX('Plotting Data'!F$3:F$502,MATCH($F3,'Plotting Data'!B$3:B$502,1))</f>
        <v>-1.875</v>
      </c>
      <c r="K3" s="345">
        <f>INDEX('Plotting Data'!G$3:G$502,MATCH($F3,'Plotting Data'!B$3:B$502,1))</f>
        <v>3.4374999999999996</v>
      </c>
      <c r="L3" s="346">
        <f>INDEX('Plotting Data'!H$3:H$502,MATCH($F3,'Plotting Data'!B$3:B$502,1))</f>
        <v>3.4374999999999996</v>
      </c>
      <c r="N3" s="361" t="s">
        <v>21</v>
      </c>
      <c r="O3" s="364">
        <v>1</v>
      </c>
    </row>
    <row r="4" spans="1:15" ht="18.75">
      <c r="A4" s="435" t="str">
        <f>IF(constants!$B$10="English",Language!B10,IF(constants!$B$10=Language!$G$1,Language!G10,IF(constants!$B$10=Language!$C$1,Language!C10,IF(constants!$B$10=Language!$D$1,Language!D10,IF(constants!$B$10=Language!$E$1,Language!E10,IF(constants!$B$10=Language!$F$1,Language!F10,IF(constants!$B$10=Language!$H$1,Language!H10,IF(constants!$B$10=Language!$I$1,Language!I10,IF(constants!$B$10=Language!$J$1,Language!J10,IF(constants!$B$10=Language!$K$1,Language!K10,IF(constants!$B$10=Language!$L$1,Language!L10,IF(constants!$B$10=Language!$M$1,Language!M10,IF(constants!$B$10=Language!$N$1,Language!N10,IF(constants!$B$10=Language!$O$1,Language!O10,IF(constants!$B$10=Language!$P$1,Language!P10,IF(constants!$B$10=Language!$Q$1,Language!Q10,IF(constants!$B$10=Language!$R$1,Language!R10," ")))))))))))))))))</f>
        <v>Measured Deflection</v>
      </c>
      <c r="B4" s="431" t="s">
        <v>176</v>
      </c>
      <c r="C4" s="427" t="s">
        <v>177</v>
      </c>
      <c r="D4" s="343" t="s">
        <v>12</v>
      </c>
      <c r="E4" s="4">
        <f>IF(OR(mid1_b=constants!A5,mid1_b=constants!A4),1,0)</f>
        <v>0</v>
      </c>
      <c r="F4" s="344">
        <f>Main!E6</f>
        <v>1</v>
      </c>
      <c r="G4" s="345">
        <f>INDEX('Plotting Data'!$C$3:$C$502,MATCH($F4,'Plotting Data'!B$3:B$502,1))</f>
        <v>-1.6774020397208806</v>
      </c>
      <c r="H4" s="345">
        <f>INDEX('Plotting Data'!D$3:D$506,MATCH($F4,'Plotting Data'!B$3:B$506,1))</f>
        <v>-0.71888658845180675</v>
      </c>
      <c r="I4" s="345">
        <f>INDEX('Plotting Data'!E$3:E$502,MATCH($F4,'Plotting Data'!B$3:B$502,1))</f>
        <v>7.1888658845180569</v>
      </c>
      <c r="J4" s="345">
        <f>INDEX('Plotting Data'!F$3:F$502,MATCH($F4,'Plotting Data'!B$3:B$502,1))</f>
        <v>1.5624999999999996</v>
      </c>
      <c r="K4" s="345">
        <f>INDEX('Plotting Data'!G$3:G$502,MATCH($F4,'Plotting Data'!B$3:B$502,1))</f>
        <v>3.4374999999999996</v>
      </c>
      <c r="L4" s="346">
        <f>INDEX('Plotting Data'!H$3:H$502,MATCH($F4,'Plotting Data'!B$3:B$502,1))</f>
        <v>-5</v>
      </c>
      <c r="N4" s="361" t="s">
        <v>35</v>
      </c>
      <c r="O4" s="364">
        <v>1</v>
      </c>
    </row>
    <row r="5" spans="1:15">
      <c r="A5" s="428" t="str">
        <f>IF(constants!$B$10="English",Language!B6,IF(constants!$B$10=Language!$G$1,Language!G6,IF(constants!$B$10=Language!$C$1,Language!C6,IF(constants!$B$10=Language!$D$1,Language!D6,IF(constants!$B$10=Language!$E$1,Language!E6,IF(constants!$B$10=Language!$F$1,Language!F6,IF(constants!$B$10=Language!$H$1,Language!H6,IF(constants!$B$10=Language!$I$1,Language!I6,IF(constants!$B$10=Language!$J$1,Language!J6,IF(constants!$B$10=Language!$K$1,Language!K6,IF(constants!$B$10=Language!$L$1,Language!L6,IF(constants!$B$10=Language!$M$1,Language!M6,IF(constants!$B$10=Language!$N$1,Language!N6,IF(constants!$B$10=Language!$O$1,Language!O6,IF(constants!$B$10=Language!$P$1,Language!P6,IF(constants!$B$10=Language!$Q$1,Language!Q6,IF(constants!$B$10=Language!$R$1,Language!R6," ")))))))))))))))))</f>
        <v>Simply Supported</v>
      </c>
      <c r="B5" s="432" t="str">
        <f>IF(B1=0," ",1)</f>
        <v xml:space="preserve"> </v>
      </c>
      <c r="C5" s="425" t="str">
        <f t="shared" ref="C5:D5" si="1">IF(C1=0," ",1)</f>
        <v xml:space="preserve"> </v>
      </c>
      <c r="D5" s="347" t="str">
        <f t="shared" si="1"/>
        <v xml:space="preserve"> </v>
      </c>
      <c r="E5" s="4">
        <f>IF(OR(mid2_b=constants!A5,mid2_b=constants!A4),1,0)</f>
        <v>1</v>
      </c>
      <c r="F5" s="344">
        <f>Main!G6</f>
        <v>2</v>
      </c>
      <c r="G5" s="345">
        <f>INDEX('Plotting Data'!$C$3:$C$502,MATCH($F5,'Plotting Data'!B$3:B$502,1))</f>
        <v>0</v>
      </c>
      <c r="H5" s="345">
        <f>INDEX('Plotting Data'!D$3:D$506,MATCH($F5,'Plotting Data'!B$3:B$506,1))</f>
        <v>2.8755463538072217</v>
      </c>
      <c r="I5" s="345">
        <f>INDEX('Plotting Data'!E$3:E$502,MATCH($F5,'Plotting Data'!B$3:B$502,1))</f>
        <v>0</v>
      </c>
      <c r="J5" s="345">
        <f>INDEX('Plotting Data'!F$3:F$502,MATCH($F5,'Plotting Data'!B$3:B$502,1))</f>
        <v>0</v>
      </c>
      <c r="K5" s="345">
        <f>INDEX('Plotting Data'!G$3:G$502,MATCH($F5,'Plotting Data'!B$3:B$502,1))</f>
        <v>-1.5625000000000002</v>
      </c>
      <c r="L5" s="346">
        <f>INDEX('Plotting Data'!H$3:H$502,MATCH($F5,'Plotting Data'!B$3:B$502,1))</f>
        <v>1.5625000000000002</v>
      </c>
      <c r="N5" s="362" t="s">
        <v>22</v>
      </c>
      <c r="O5" s="364">
        <v>1</v>
      </c>
    </row>
    <row r="6" spans="1:15" ht="15.75" thickBot="1">
      <c r="A6" s="428" t="str">
        <f>IF(constants!$B$10="English",Language!B7,IF(constants!$B$10=Language!$G$1,Language!G7,IF(constants!$B$10=Language!$C$1,Language!C7,IF(constants!$B$10=Language!$D$1,Language!D7,IF(constants!$B$10=Language!$E$1,Language!E7,IF(constants!$B$10=Language!$F$1,Language!F7,IF(constants!$B$10=Language!$H$1,Language!H7,IF(constants!$B$10=Language!$I$1,Language!I7,IF(constants!$B$10=Language!$J$1,Language!J7,IF(constants!$B$10=Language!$K$1,Language!K7,IF(constants!$B$10=Language!$L$1,Language!L7,IF(constants!$B$10=Language!$M$1,Language!M7,IF(constants!$B$10=Language!$N$1,Language!N7,IF(constants!$B$10=Language!$O$1,Language!O7,IF(constants!$B$10=Language!$P$1,Language!P7,IF(constants!$B$10=Language!$Q$1,Language!Q7,IF(constants!$B$10=Language!$R$1,Language!R7," ")))))))))))))))))</f>
        <v>Free</v>
      </c>
      <c r="B6" s="432" t="str">
        <f>IF(B1=0," ",1)</f>
        <v xml:space="preserve"> </v>
      </c>
      <c r="C6" s="425" t="str">
        <f t="shared" ref="C6:D6" si="2">IF(C1=0," ",1)</f>
        <v xml:space="preserve"> </v>
      </c>
      <c r="D6" s="347" t="str">
        <f t="shared" si="2"/>
        <v xml:space="preserve"> </v>
      </c>
      <c r="E6" s="4">
        <f>IF(OR(right_b=constants!A5,right_b=constants!A4),1,0)</f>
        <v>0</v>
      </c>
      <c r="F6" s="348">
        <f>Main!I6</f>
        <v>4</v>
      </c>
      <c r="G6" s="345">
        <f>INDEX('Plotting Data'!$C$3:$C$502,MATCH($F6,'Plotting Data'!B$3:B$502,1))</f>
        <v>5.7510927076144478</v>
      </c>
      <c r="H6" s="345">
        <f>INDEX('Plotting Data'!D$3:D$506,MATCH($F6,'Plotting Data'!B$3:B$506,1))</f>
        <v>2.8755463538072239</v>
      </c>
      <c r="I6" s="345">
        <f>INDEX('Plotting Data'!E$3:E$502,MATCH($F6,'Plotting Data'!B$3:B$502,1))</f>
        <v>0</v>
      </c>
      <c r="J6" s="345">
        <f>INDEX('Plotting Data'!F$3:F$502,MATCH($F6,'Plotting Data'!B$3:B$502,1))</f>
        <v>0</v>
      </c>
      <c r="K6" s="345">
        <f>INDEX('Plotting Data'!G$3:G$502,MATCH($F6,'Plotting Data'!B$3:B$502,1))</f>
        <v>0</v>
      </c>
      <c r="L6" s="346">
        <f>INDEX('Plotting Data'!H$3:H$502,MATCH($F6,'Plotting Data'!B$3:B$502,1))</f>
        <v>0</v>
      </c>
      <c r="N6" s="361" t="s">
        <v>23</v>
      </c>
      <c r="O6" s="364">
        <v>1</v>
      </c>
    </row>
    <row r="7" spans="1:15" ht="15.75" thickBot="1">
      <c r="A7" s="429" t="str">
        <f>IF(constants!$B$10="English",Language!B5,IF(constants!$B$10=Language!$G$1,Language!G5,IF(constants!$B$10=Language!$C$1,Language!C5,IF(constants!$B$10=Language!$D$1,Language!D5,IF(constants!$B$10=Language!$E$1,Language!E5,IF(constants!$B$10=Language!$F$1,Language!F5,IF(constants!$B$10=Language!$H$1,Language!H5,IF(constants!$B$10=Language!$I$1,Language!I5,IF(constants!$B$10=Language!$J$1,Language!J5,IF(constants!$B$10=Language!$K$1,Language!K5,IF(constants!$B$10=Language!$L$1,Language!L5,IF(constants!$B$10=Language!$M$1,Language!M5,IF(constants!$B$10=Language!$N$1,Language!N5,IF(constants!$B$10=Language!$O$1,Language!O5,IF(constants!$B$10=Language!$P$1,Language!P5,IF(constants!$B$10=Language!$Q$1,Language!Q5,IF(constants!$B$10=Language!$R$1,Language!R5," ")))))))))))))))))</f>
        <v>Clamped</v>
      </c>
      <c r="B7" s="433" t="str">
        <f>IF(B1=0," ",1)</f>
        <v xml:space="preserve"> </v>
      </c>
      <c r="C7" s="426" t="str">
        <f t="shared" ref="C7:D7" si="3">IF(C1=0," ",1)</f>
        <v xml:space="preserve"> </v>
      </c>
      <c r="D7" s="349" t="str">
        <f t="shared" si="3"/>
        <v xml:space="preserve"> </v>
      </c>
      <c r="E7" s="4">
        <f>SUM(E2:E6)</f>
        <v>3</v>
      </c>
      <c r="N7" s="363" t="s">
        <v>24</v>
      </c>
      <c r="O7" s="353">
        <v>1</v>
      </c>
    </row>
    <row r="8" spans="1:15">
      <c r="E8" s="4">
        <v>2</v>
      </c>
      <c r="J8" s="5"/>
      <c r="L8" s="350"/>
    </row>
    <row r="9" spans="1:15" ht="15.75" thickBot="1">
      <c r="J9" s="5"/>
      <c r="K9" s="90"/>
      <c r="L9" s="90"/>
    </row>
    <row r="10" spans="1:15" ht="15.75" thickBot="1">
      <c r="A10" s="351" t="s">
        <v>72</v>
      </c>
      <c r="B10" s="231" t="str">
        <f>Main!I1</f>
        <v>English</v>
      </c>
      <c r="C10" s="5"/>
      <c r="D10" s="5"/>
      <c r="G10" s="230" t="s">
        <v>106</v>
      </c>
      <c r="H10" s="231">
        <v>1</v>
      </c>
      <c r="J10" s="5"/>
      <c r="K10" s="90"/>
      <c r="L10" s="90"/>
    </row>
    <row r="11" spans="1:15" ht="15.75" thickBot="1">
      <c r="G11" s="5"/>
      <c r="H11" s="5"/>
      <c r="J11" s="5"/>
      <c r="K11" s="90"/>
      <c r="L11" s="350"/>
    </row>
    <row r="12" spans="1:15" ht="15.75" thickBot="1">
      <c r="A12" s="230" t="s">
        <v>103</v>
      </c>
      <c r="B12" s="354">
        <f>IF(E12=1,Properties!H3,IF(E12=2,Properties!H4,IF(E12=3,Properties!H5,IF(E12=4,Properties!H6,Properties!H7))))</f>
        <v>0.21734999999999999</v>
      </c>
      <c r="C12" s="423"/>
      <c r="D12" s="423"/>
      <c r="E12" s="232">
        <v>1</v>
      </c>
      <c r="J12" s="5"/>
      <c r="K12" s="90"/>
      <c r="L12" s="90"/>
    </row>
    <row r="14" spans="1:15" ht="230.1" customHeight="1">
      <c r="A14" s="475"/>
      <c r="B14" s="475"/>
      <c r="C14" s="475"/>
      <c r="D14" s="475"/>
      <c r="E14" s="475"/>
      <c r="F14" s="475"/>
      <c r="G14" s="475"/>
      <c r="H14" s="475"/>
      <c r="I14" s="416"/>
      <c r="J14" s="416"/>
    </row>
    <row r="15" spans="1:15" ht="230.1" customHeight="1">
      <c r="A15" s="475"/>
      <c r="B15" s="475"/>
      <c r="C15" s="475"/>
      <c r="D15" s="475"/>
      <c r="E15" s="475"/>
      <c r="F15" s="475"/>
      <c r="G15" s="475"/>
      <c r="H15" s="475"/>
      <c r="I15" s="416"/>
      <c r="J15" s="416"/>
    </row>
    <row r="16" spans="1:15" ht="67.5" customHeight="1">
      <c r="A16" s="93"/>
      <c r="B16" s="355"/>
      <c r="C16" s="355"/>
      <c r="D16" s="355"/>
      <c r="E16" s="355"/>
      <c r="F16" s="355"/>
      <c r="G16" s="355"/>
      <c r="H16" s="355"/>
    </row>
    <row r="17" spans="1:10">
      <c r="A17" s="93"/>
      <c r="B17" s="93"/>
      <c r="C17" s="93"/>
      <c r="D17" s="93"/>
      <c r="E17" s="93"/>
      <c r="F17" s="93"/>
      <c r="G17" s="93"/>
      <c r="H17" s="93"/>
      <c r="I17" s="93"/>
      <c r="J17" s="93"/>
    </row>
    <row r="18" spans="1:10">
      <c r="A18" s="93"/>
      <c r="B18" s="93"/>
      <c r="C18" s="93"/>
      <c r="D18" s="93"/>
      <c r="E18" s="93"/>
      <c r="F18" s="93"/>
      <c r="G18" s="93"/>
      <c r="H18" s="93"/>
      <c r="I18" s="93"/>
      <c r="J18" s="93"/>
    </row>
  </sheetData>
  <mergeCells count="2">
    <mergeCell ref="A14:H14"/>
    <mergeCell ref="A15:H15"/>
  </mergeCells>
  <phoneticPr fontId="12"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754"/>
  <sheetViews>
    <sheetView topLeftCell="A121" workbookViewId="0">
      <selection activeCell="I7" sqref="I7"/>
    </sheetView>
  </sheetViews>
  <sheetFormatPr defaultColWidth="9" defaultRowHeight="15"/>
  <cols>
    <col min="1" max="7" width="15.5703125" style="88" customWidth="1"/>
    <col min="8" max="8" width="9" customWidth="1"/>
  </cols>
  <sheetData>
    <row r="1" spans="1:7" s="2" customFormat="1" ht="19.5" customHeight="1">
      <c r="A1" s="122" t="s">
        <v>27</v>
      </c>
      <c r="B1" s="123" t="s">
        <v>28</v>
      </c>
      <c r="C1" s="123" t="s">
        <v>29</v>
      </c>
      <c r="D1" s="123" t="s">
        <v>30</v>
      </c>
      <c r="E1" s="123" t="s">
        <v>31</v>
      </c>
      <c r="F1" s="123" t="s">
        <v>32</v>
      </c>
      <c r="G1" s="124" t="s">
        <v>33</v>
      </c>
    </row>
    <row r="2" spans="1:7" s="86" customFormat="1" ht="14.25" customHeight="1" thickBot="1">
      <c r="A2" s="119" t="str">
        <f>IF(constants!$B$10="English",Language!B12,IF(constants!$B$10=Language!$G$1,Language!G12," "))</f>
        <v>Position</v>
      </c>
      <c r="B2" s="120" t="str">
        <f>Properties!$B$11</f>
        <v>Deflection</v>
      </c>
      <c r="C2" s="120" t="str">
        <f>Properties!$C$11</f>
        <v>Slope</v>
      </c>
      <c r="D2" s="120" t="str">
        <f>Properties!$D$11</f>
        <v>Curvature</v>
      </c>
      <c r="E2" s="120" t="str">
        <f>Properties!$E$11</f>
        <v>Moment</v>
      </c>
      <c r="F2" s="120" t="str">
        <f>Properties!$F$11</f>
        <v>Shear</v>
      </c>
      <c r="G2" s="121" t="str">
        <f>Properties!$G$11</f>
        <v>Load</v>
      </c>
    </row>
    <row r="3" spans="1:7">
      <c r="A3" s="116">
        <f>Main!C6</f>
        <v>0</v>
      </c>
      <c r="B3" s="117">
        <f>Solver!$R$20 + A3 * Solver!$R$21 + A3 ^ 2 * Solver!$R$22+Data!A3 ^ 3 * Solver!$R$23</f>
        <v>0</v>
      </c>
      <c r="C3" s="117">
        <f>Solver!$R$21+2*A3*Solver!$R$22+3*A3^2*Solver!$R$23</f>
        <v>0</v>
      </c>
      <c r="D3" s="117">
        <f>2 * Solver!$R$22 + 6 *A3 * Solver!$R$23</f>
        <v>-8.6266390614216704</v>
      </c>
      <c r="E3" s="117">
        <f>(2 * Solver!$R$22 + 6 *A3 * Solver!$R$23)*constants!$B$12</f>
        <v>-1.875</v>
      </c>
      <c r="F3" s="117">
        <f xml:space="preserve"> 6 *  Solver!$R$23 * constants!$B$12</f>
        <v>3.4374999999999996</v>
      </c>
      <c r="G3" s="118">
        <f>IF(A3=Main!$E$6,F4-F3,IF(A3=Main!$G$6,F4-F3,IF(A3=Main!$C$6,F3,IF(A3=Main!$I$6,-F3,0))))</f>
        <v>3.4374999999999996</v>
      </c>
    </row>
    <row r="4" spans="1:7" s="87" customFormat="1">
      <c r="A4" s="109">
        <f>(A103-A3)/100</f>
        <v>0.01</v>
      </c>
      <c r="B4" s="110">
        <f>Solver!$R$20 + A4 * Solver!$R$21 + A4 ^ 2 * Solver!$R$22+Data!A4 ^ 3 * Solver!$R$23</f>
        <v>-4.2869603558009362E-4</v>
      </c>
      <c r="C4" s="110">
        <f>Solver!$R$21+2*A4*Solver!$R$22+3*A4^2*Solver!$R$23</f>
        <v>-8.5475615366919722E-2</v>
      </c>
      <c r="D4" s="110">
        <f>2 * Solver!$R$22 + 6 *A4 * Solver!$R$23</f>
        <v>-8.4684840119622731</v>
      </c>
      <c r="E4" s="110">
        <f>(2 * Solver!$R$22 + 6 *A4 * Solver!$R$23)*constants!$B$12</f>
        <v>-1.840625</v>
      </c>
      <c r="F4" s="110">
        <f xml:space="preserve"> 6 *  Solver!$R$23 * constants!$B$12</f>
        <v>3.4374999999999996</v>
      </c>
      <c r="G4" s="111">
        <f>IF(A4=Main!$E$6,F5-F4,IF(A4=Main!$G$6,F5-F4,IF(A4=Main!$C$6,F4,IF(A4=Main!$I$6,-F4,0))))</f>
        <v>0</v>
      </c>
    </row>
    <row r="5" spans="1:7" s="87" customFormat="1">
      <c r="A5" s="109">
        <f>(A103-A3)/50</f>
        <v>0.02</v>
      </c>
      <c r="B5" s="110">
        <f>Solver!$R$20 + A5 * Solver!$R$21 + A5 ^ 2 * Solver!$R$22+Data!A5 ^ 3 * Solver!$R$23</f>
        <v>-1.7042404723564145E-3</v>
      </c>
      <c r="C5" s="110">
        <f>Solver!$R$21+2*A5*Solver!$R$22+3*A5^2*Solver!$R$23</f>
        <v>-0.16936968023924545</v>
      </c>
      <c r="D5" s="110">
        <f>2 * Solver!$R$22 + 6 *A5 * Solver!$R$23</f>
        <v>-8.3103289625028758</v>
      </c>
      <c r="E5" s="110">
        <f>(2 * Solver!$R$22 + 6 *A5 * Solver!$R$23)*constants!$B$12</f>
        <v>-1.8062499999999999</v>
      </c>
      <c r="F5" s="110">
        <f xml:space="preserve"> 6 *  Solver!$R$23 * constants!$B$12</f>
        <v>3.4374999999999996</v>
      </c>
      <c r="G5" s="111">
        <f>IF(A5=Main!$E$6,F6-F5,IF(A5=Main!$G$6,F6-F5,IF(A5=Main!$C$6,F5,IF(A5=Main!$I$6,-F5,0))))</f>
        <v>0</v>
      </c>
    </row>
    <row r="6" spans="1:7" s="87" customFormat="1">
      <c r="A6" s="109">
        <f>3*(A103-A3)/100</f>
        <v>0.03</v>
      </c>
      <c r="B6" s="110">
        <f>Solver!$R$20 + A6 * Solver!$R$21 + A6 ^ 2 * Solver!$R$22+Data!A6 ^ 3 * Solver!$R$23</f>
        <v>-3.8108178053830226E-3</v>
      </c>
      <c r="C6" s="110">
        <f>Solver!$R$21+2*A6*Solver!$R$22+3*A6^2*Solver!$R$23</f>
        <v>-0.25168219461697722</v>
      </c>
      <c r="D6" s="110">
        <f>2 * Solver!$R$22 + 6 *A6 * Solver!$R$23</f>
        <v>-8.1521739130434785</v>
      </c>
      <c r="E6" s="110">
        <f>(2 * Solver!$R$22 + 6 *A6 * Solver!$R$23)*constants!$B$12</f>
        <v>-1.7718749999999999</v>
      </c>
      <c r="F6" s="110">
        <f xml:space="preserve"> 6 *  Solver!$R$23 * constants!$B$12</f>
        <v>3.4374999999999996</v>
      </c>
      <c r="G6" s="111">
        <f>IF(A6=Main!$E$6,F7-F6,IF(A6=Main!$G$6,F7-F6,IF(A6=Main!$C$6,F6,IF(A6=Main!$I$6,-F6,0))))</f>
        <v>0</v>
      </c>
    </row>
    <row r="7" spans="1:7" s="87" customFormat="1">
      <c r="A7" s="109">
        <f>4*(A103-A3)/100</f>
        <v>0.04</v>
      </c>
      <c r="B7" s="110">
        <f>Solver!$R$20 + A7 * Solver!$R$21 + A7 ^ 2 * Solver!$R$22+Data!A7 ^ 3 * Solver!$R$23</f>
        <v>-6.7326125297139799E-3</v>
      </c>
      <c r="C7" s="110">
        <f>Solver!$R$21+2*A7*Solver!$R$22+3*A7^2*Solver!$R$23</f>
        <v>-0.33241315850011505</v>
      </c>
      <c r="D7" s="110">
        <f>2 * Solver!$R$22 + 6 *A7 * Solver!$R$23</f>
        <v>-7.9940188635840812</v>
      </c>
      <c r="E7" s="110">
        <f>(2 * Solver!$R$22 + 6 *A7 * Solver!$R$23)*constants!$B$12</f>
        <v>-1.7375</v>
      </c>
      <c r="F7" s="110">
        <f xml:space="preserve"> 6 *  Solver!$R$23 * constants!$B$12</f>
        <v>3.4374999999999996</v>
      </c>
      <c r="G7" s="111">
        <f>IF(A7=Main!$E$6,F8-F7,IF(A7=Main!$G$6,F8-F7,IF(A7=Main!$C$6,F7,IF(A7=Main!$I$6,-F7,0))))</f>
        <v>0</v>
      </c>
    </row>
    <row r="8" spans="1:7">
      <c r="A8" s="109">
        <f>(A103-A3)/20</f>
        <v>0.05</v>
      </c>
      <c r="B8" s="110">
        <f>Solver!$R$20 + A8 * Solver!$R$21 + A8 ^ 2 * Solver!$R$22+Data!A8 ^ 3 * Solver!$R$23</f>
        <v>-1.0453809140403345E-2</v>
      </c>
      <c r="C8" s="110">
        <f>Solver!$R$21+2*A8*Solver!$R$22+3*A8^2*Solver!$R$23</f>
        <v>-0.41156257188865886</v>
      </c>
      <c r="D8" s="110">
        <f>2 * Solver!$R$22 + 6 *A8 * Solver!$R$23</f>
        <v>-7.8358638141246839</v>
      </c>
      <c r="E8" s="110">
        <f>(2 * Solver!$R$22 + 6 *A8 * Solver!$R$23)*constants!$B$12</f>
        <v>-1.703125</v>
      </c>
      <c r="F8" s="110">
        <f xml:space="preserve"> 6 *  Solver!$R$23 * constants!$B$12</f>
        <v>3.4374999999999996</v>
      </c>
      <c r="G8" s="111">
        <f>IF(A8=Main!$E$6,F9-F8,IF(A8=Main!$G$6,F9-F8,IF(A8=Main!$C$6,F8,IF(A8=Main!$I$6,-F8,0))))</f>
        <v>0</v>
      </c>
    </row>
    <row r="9" spans="1:7" s="87" customFormat="1">
      <c r="A9" s="109">
        <f>6*(A103-A3)/100</f>
        <v>0.06</v>
      </c>
      <c r="B9" s="110">
        <f>Solver!$R$20 + A9 * Solver!$R$21 + A9 ^ 2 * Solver!$R$22+Data!A9 ^ 3 * Solver!$R$23</f>
        <v>-1.4958592132505177E-2</v>
      </c>
      <c r="C9" s="110">
        <f>Solver!$R$21+2*A9*Solver!$R$22+3*A9^2*Solver!$R$23</f>
        <v>-0.4891304347826087</v>
      </c>
      <c r="D9" s="110">
        <f>2 * Solver!$R$22 + 6 *A9 * Solver!$R$23</f>
        <v>-7.6777087646652866</v>
      </c>
      <c r="E9" s="110">
        <f>(2 * Solver!$R$22 + 6 *A9 * Solver!$R$23)*constants!$B$12</f>
        <v>-1.66875</v>
      </c>
      <c r="F9" s="110">
        <f xml:space="preserve"> 6 *  Solver!$R$23 * constants!$B$12</f>
        <v>3.4374999999999996</v>
      </c>
      <c r="G9" s="111">
        <f>IF(A9=Main!$E$6,F10-F9,IF(A9=Main!$G$6,F10-F9,IF(A9=Main!$C$6,F9,IF(A9=Main!$I$6,-F9,0))))</f>
        <v>0</v>
      </c>
    </row>
    <row r="10" spans="1:7" s="87" customFormat="1">
      <c r="A10" s="109">
        <f>7*(A103-A3)/100</f>
        <v>7.0000000000000007E-2</v>
      </c>
      <c r="B10" s="110">
        <f>Solver!$R$20 + A10 * Solver!$R$21 + A10 ^ 2 * Solver!$R$22+Data!A10 ^ 3 * Solver!$R$23</f>
        <v>-2.0231146001073542E-2</v>
      </c>
      <c r="C10" s="110">
        <f>Solver!$R$21+2*A10*Solver!$R$22+3*A10^2*Solver!$R$23</f>
        <v>-0.5651167471819647</v>
      </c>
      <c r="D10" s="110">
        <f>2 * Solver!$R$22 + 6 *A10 * Solver!$R$23</f>
        <v>-7.5195537152058893</v>
      </c>
      <c r="E10" s="110">
        <f>(2 * Solver!$R$22 + 6 *A10 * Solver!$R$23)*constants!$B$12</f>
        <v>-1.6343749999999999</v>
      </c>
      <c r="F10" s="110">
        <f xml:space="preserve"> 6 *  Solver!$R$23 * constants!$B$12</f>
        <v>3.4374999999999996</v>
      </c>
      <c r="G10" s="111">
        <f>IF(A10=Main!$E$6,F11-F10,IF(A10=Main!$G$6,F11-F10,IF(A10=Main!$C$6,F10,IF(A10=Main!$I$6,-F10,0))))</f>
        <v>0</v>
      </c>
    </row>
    <row r="11" spans="1:7" s="87" customFormat="1">
      <c r="A11" s="109">
        <f>8*(A103-A3)/100</f>
        <v>0.08</v>
      </c>
      <c r="B11" s="110">
        <f>Solver!$R$20 + A11 * Solver!$R$21 + A11 ^ 2 * Solver!$R$22+Data!A11 ^ 3 * Solver!$R$23</f>
        <v>-2.6255655241162492E-2</v>
      </c>
      <c r="C11" s="110">
        <f>Solver!$R$21+2*A11*Solver!$R$22+3*A11^2*Solver!$R$23</f>
        <v>-0.63952150908672645</v>
      </c>
      <c r="D11" s="110">
        <f>2 * Solver!$R$22 + 6 *A11 * Solver!$R$23</f>
        <v>-7.361398665746492</v>
      </c>
      <c r="E11" s="110">
        <f>(2 * Solver!$R$22 + 6 *A11 * Solver!$R$23)*constants!$B$12</f>
        <v>-1.5999999999999999</v>
      </c>
      <c r="F11" s="110">
        <f xml:space="preserve"> 6 *  Solver!$R$23 * constants!$B$12</f>
        <v>3.4374999999999996</v>
      </c>
      <c r="G11" s="111">
        <f>IF(A11=Main!$E$6,F12-F11,IF(A11=Main!$G$6,F12-F11,IF(A11=Main!$C$6,F11,IF(A11=Main!$I$6,-F11,0))))</f>
        <v>0</v>
      </c>
    </row>
    <row r="12" spans="1:7" s="87" customFormat="1">
      <c r="A12" s="109">
        <f>9*(A103-A3)/100</f>
        <v>0.09</v>
      </c>
      <c r="B12" s="110">
        <f>Solver!$R$20 + A12 * Solver!$R$21 + A12 ^ 2 * Solver!$R$22+Data!A12 ^ 3 * Solver!$R$23</f>
        <v>-3.3016304347826084E-2</v>
      </c>
      <c r="C12" s="110">
        <f>Solver!$R$21+2*A12*Solver!$R$22+3*A12^2*Solver!$R$23</f>
        <v>-0.71234472049689446</v>
      </c>
      <c r="D12" s="110">
        <f>2 * Solver!$R$22 + 6 *A12 * Solver!$R$23</f>
        <v>-7.2032436162870948</v>
      </c>
      <c r="E12" s="110">
        <f>(2 * Solver!$R$22 + 6 *A12 * Solver!$R$23)*constants!$B$12</f>
        <v>-1.565625</v>
      </c>
      <c r="F12" s="110">
        <f xml:space="preserve"> 6 *  Solver!$R$23 * constants!$B$12</f>
        <v>3.4374999999999996</v>
      </c>
      <c r="G12" s="111">
        <f>IF(A12=Main!$E$6,F13-F12,IF(A12=Main!$G$6,F13-F12,IF(A12=Main!$C$6,F12,IF(A12=Main!$I$6,-F12,0))))</f>
        <v>0</v>
      </c>
    </row>
    <row r="13" spans="1:7">
      <c r="A13" s="109">
        <f>(A103-A3)/10</f>
        <v>0.1</v>
      </c>
      <c r="B13" s="110">
        <f>Solver!$R$20 + A13 * Solver!$R$21 + A13 ^ 2 * Solver!$R$22+Data!A13 ^ 3 * Solver!$R$23</f>
        <v>-4.0497277816118407E-2</v>
      </c>
      <c r="C13" s="110">
        <f>Solver!$R$21+2*A13*Solver!$R$22+3*A13^2*Solver!$R$23</f>
        <v>-0.78358638141246839</v>
      </c>
      <c r="D13" s="110">
        <f>2 * Solver!$R$22 + 6 *A13 * Solver!$R$23</f>
        <v>-7.0450885668276975</v>
      </c>
      <c r="E13" s="110">
        <f>(2 * Solver!$R$22 + 6 *A13 * Solver!$R$23)*constants!$B$12</f>
        <v>-1.53125</v>
      </c>
      <c r="F13" s="110">
        <f xml:space="preserve"> 6 *  Solver!$R$23 * constants!$B$12</f>
        <v>3.4374999999999996</v>
      </c>
      <c r="G13" s="111">
        <f>IF(A13=Main!$E$6,F14-F13,IF(A13=Main!$G$6,F14-F13,IF(A13=Main!$C$6,F13,IF(A13=Main!$I$6,-F13,0))))</f>
        <v>0</v>
      </c>
    </row>
    <row r="14" spans="1:7" s="87" customFormat="1">
      <c r="A14" s="109">
        <f>11*(A103-A3)/100</f>
        <v>0.11</v>
      </c>
      <c r="B14" s="110">
        <f>Solver!$R$20 + A14 * Solver!$R$21 + A14 ^ 2 * Solver!$R$22+Data!A14 ^ 3 * Solver!$R$23</f>
        <v>-4.8682760141093476E-2</v>
      </c>
      <c r="C14" s="110">
        <f>Solver!$R$21+2*A14*Solver!$R$22+3*A14^2*Solver!$R$23</f>
        <v>-0.85324649183344836</v>
      </c>
      <c r="D14" s="110">
        <f>2 * Solver!$R$22 + 6 *A14 * Solver!$R$23</f>
        <v>-6.8869335173683002</v>
      </c>
      <c r="E14" s="110">
        <f>(2 * Solver!$R$22 + 6 *A14 * Solver!$R$23)*constants!$B$12</f>
        <v>-1.496875</v>
      </c>
      <c r="F14" s="110">
        <f xml:space="preserve"> 6 *  Solver!$R$23 * constants!$B$12</f>
        <v>3.4374999999999996</v>
      </c>
      <c r="G14" s="111">
        <f>IF(A14=Main!$E$6,F15-F14,IF(A14=Main!$G$6,F15-F14,IF(A14=Main!$C$6,F14,IF(A14=Main!$I$6,-F14,0))))</f>
        <v>0</v>
      </c>
    </row>
    <row r="15" spans="1:7" s="87" customFormat="1">
      <c r="A15" s="109">
        <f>12*(A103-A3)/100</f>
        <v>0.12</v>
      </c>
      <c r="B15" s="110">
        <f>Solver!$R$20 + A15 * Solver!$R$21 + A15 ^ 2 * Solver!$R$22+Data!A15 ^ 3 * Solver!$R$23</f>
        <v>-5.7556935817805382E-2</v>
      </c>
      <c r="C15" s="110">
        <f>Solver!$R$21+2*A15*Solver!$R$22+3*A15^2*Solver!$R$23</f>
        <v>-0.92132505175983437</v>
      </c>
      <c r="D15" s="110">
        <f>2 * Solver!$R$22 + 6 *A15 * Solver!$R$23</f>
        <v>-6.7287784679089029</v>
      </c>
      <c r="E15" s="110">
        <f>(2 * Solver!$R$22 + 6 *A15 * Solver!$R$23)*constants!$B$12</f>
        <v>-1.4624999999999999</v>
      </c>
      <c r="F15" s="110">
        <f xml:space="preserve"> 6 *  Solver!$R$23 * constants!$B$12</f>
        <v>3.4374999999999996</v>
      </c>
      <c r="G15" s="111">
        <f>IF(A15=Main!$E$6,F16-F15,IF(A15=Main!$G$6,F16-F15,IF(A15=Main!$C$6,F15,IF(A15=Main!$I$6,-F15,0))))</f>
        <v>0</v>
      </c>
    </row>
    <row r="16" spans="1:7" s="87" customFormat="1">
      <c r="A16" s="109">
        <f>13*(A103-A3)/100</f>
        <v>0.13</v>
      </c>
      <c r="B16" s="110">
        <f>Solver!$R$20 + A16 * Solver!$R$21 + A16 ^ 2 * Solver!$R$22+Data!A16 ^ 3 * Solver!$R$23</f>
        <v>-6.7103989341308193E-2</v>
      </c>
      <c r="C16" s="110">
        <f>Solver!$R$21+2*A16*Solver!$R$22+3*A16^2*Solver!$R$23</f>
        <v>-0.98782206119162641</v>
      </c>
      <c r="D16" s="110">
        <f>2 * Solver!$R$22 + 6 *A16 * Solver!$R$23</f>
        <v>-6.5706234184495056</v>
      </c>
      <c r="E16" s="110">
        <f>(2 * Solver!$R$22 + 6 *A16 * Solver!$R$23)*constants!$B$12</f>
        <v>-1.4281249999999999</v>
      </c>
      <c r="F16" s="110">
        <f xml:space="preserve"> 6 *  Solver!$R$23 * constants!$B$12</f>
        <v>3.4374999999999996</v>
      </c>
      <c r="G16" s="111">
        <f>IF(A16=Main!$E$6,F17-F16,IF(A16=Main!$G$6,F17-F16,IF(A16=Main!$C$6,F16,IF(A16=Main!$I$6,-F16,0))))</f>
        <v>0</v>
      </c>
    </row>
    <row r="17" spans="1:7" s="87" customFormat="1">
      <c r="A17" s="109">
        <f>14*(A103-A3)/100</f>
        <v>0.14000000000000001</v>
      </c>
      <c r="B17" s="110">
        <f>Solver!$R$20 + A17 * Solver!$R$21 + A17 ^ 2 * Solver!$R$22+Data!A17 ^ 3 * Solver!$R$23</f>
        <v>-7.7308105206655944E-2</v>
      </c>
      <c r="C17" s="110">
        <f>Solver!$R$21+2*A17*Solver!$R$22+3*A17^2*Solver!$R$23</f>
        <v>-1.0527375201288247</v>
      </c>
      <c r="D17" s="110">
        <f>2 * Solver!$R$22 + 6 *A17 * Solver!$R$23</f>
        <v>-6.4124683689901083</v>
      </c>
      <c r="E17" s="110">
        <f>(2 * Solver!$R$22 + 6 *A17 * Solver!$R$23)*constants!$B$12</f>
        <v>-1.39375</v>
      </c>
      <c r="F17" s="110">
        <f xml:space="preserve"> 6 *  Solver!$R$23 * constants!$B$12</f>
        <v>3.4374999999999996</v>
      </c>
      <c r="G17" s="111">
        <f>IF(A17=Main!$E$6,F18-F17,IF(A17=Main!$G$6,F18-F17,IF(A17=Main!$C$6,F17,IF(A17=Main!$I$6,-F17,0))))</f>
        <v>0</v>
      </c>
    </row>
    <row r="18" spans="1:7">
      <c r="A18" s="109">
        <f>3*(A103-A3)/20</f>
        <v>0.15</v>
      </c>
      <c r="B18" s="110">
        <f>Solver!$R$20 + A18 * Solver!$R$21 + A18 ^ 2 * Solver!$R$22+Data!A18 ^ 3 * Solver!$R$23</f>
        <v>-8.8153467908902688E-2</v>
      </c>
      <c r="C18" s="110">
        <f>Solver!$R$21+2*A18*Solver!$R$22+3*A18^2*Solver!$R$23</f>
        <v>-1.1160714285714286</v>
      </c>
      <c r="D18" s="110">
        <f>2 * Solver!$R$22 + 6 *A18 * Solver!$R$23</f>
        <v>-6.254313319530711</v>
      </c>
      <c r="E18" s="110">
        <f>(2 * Solver!$R$22 + 6 *A18 * Solver!$R$23)*constants!$B$12</f>
        <v>-1.359375</v>
      </c>
      <c r="F18" s="110">
        <f xml:space="preserve"> 6 *  Solver!$R$23 * constants!$B$12</f>
        <v>3.4374999999999996</v>
      </c>
      <c r="G18" s="111">
        <f>IF(A18=Main!$E$6,F19-F18,IF(A18=Main!$G$6,F19-F18,IF(A18=Main!$C$6,F18,IF(A18=Main!$I$6,-F18,0))))</f>
        <v>0</v>
      </c>
    </row>
    <row r="19" spans="1:7" s="87" customFormat="1">
      <c r="A19" s="109">
        <f>16*(A103-A3)/100</f>
        <v>0.16</v>
      </c>
      <c r="B19" s="110">
        <f>Solver!$R$20 + A19 * Solver!$R$21 + A19 ^ 2 * Solver!$R$22+Data!A19 ^ 3 * Solver!$R$23</f>
        <v>-9.9624261943102532E-2</v>
      </c>
      <c r="C19" s="110">
        <f>Solver!$R$21+2*A19*Solver!$R$22+3*A19^2*Solver!$R$23</f>
        <v>-1.1778237865194388</v>
      </c>
      <c r="D19" s="110">
        <f>2 * Solver!$R$22 + 6 *A19 * Solver!$R$23</f>
        <v>-6.0961582700713137</v>
      </c>
      <c r="E19" s="110">
        <f>(2 * Solver!$R$22 + 6 *A19 * Solver!$R$23)*constants!$B$12</f>
        <v>-1.325</v>
      </c>
      <c r="F19" s="110">
        <f xml:space="preserve"> 6 *  Solver!$R$23 * constants!$B$12</f>
        <v>3.4374999999999996</v>
      </c>
      <c r="G19" s="111">
        <f>IF(A19=Main!$E$6,F20-F19,IF(A19=Main!$G$6,F20-F19,IF(A19=Main!$C$6,F19,IF(A19=Main!$I$6,-F19,0))))</f>
        <v>0</v>
      </c>
    </row>
    <row r="20" spans="1:7" s="87" customFormat="1">
      <c r="A20" s="109">
        <f>17*(A103-A3)/100</f>
        <v>0.17</v>
      </c>
      <c r="B20" s="110">
        <f>Solver!$R$20 + A20 * Solver!$R$21 + A20 ^ 2 * Solver!$R$22+Data!A20 ^ 3 * Solver!$R$23</f>
        <v>-0.11170467180430951</v>
      </c>
      <c r="C20" s="110">
        <f>Solver!$R$21+2*A20*Solver!$R$22+3*A20^2*Solver!$R$23</f>
        <v>-1.2379945939728549</v>
      </c>
      <c r="D20" s="110">
        <f>2 * Solver!$R$22 + 6 *A20 * Solver!$R$23</f>
        <v>-5.9380032206119164</v>
      </c>
      <c r="E20" s="110">
        <f>(2 * Solver!$R$22 + 6 *A20 * Solver!$R$23)*constants!$B$12</f>
        <v>-1.2906249999999999</v>
      </c>
      <c r="F20" s="110">
        <f xml:space="preserve"> 6 *  Solver!$R$23 * constants!$B$12</f>
        <v>3.4374999999999996</v>
      </c>
      <c r="G20" s="111">
        <f>IF(A20=Main!$E$6,F21-F20,IF(A20=Main!$G$6,F21-F20,IF(A20=Main!$C$6,F20,IF(A20=Main!$I$6,-F20,0))))</f>
        <v>0</v>
      </c>
    </row>
    <row r="21" spans="1:7" s="87" customFormat="1">
      <c r="A21" s="109">
        <f>18*(A103-A3)/100</f>
        <v>0.18</v>
      </c>
      <c r="B21" s="110">
        <f>Solver!$R$20 + A21 * Solver!$R$21 + A21 ^ 2 * Solver!$R$22+Data!A21 ^ 3 * Solver!$R$23</f>
        <v>-0.12437888198757763</v>
      </c>
      <c r="C21" s="110">
        <f>Solver!$R$21+2*A21*Solver!$R$22+3*A21^2*Solver!$R$23</f>
        <v>-1.2965838509316772</v>
      </c>
      <c r="D21" s="110">
        <f>2 * Solver!$R$22 + 6 *A21 * Solver!$R$23</f>
        <v>-5.7798481711525191</v>
      </c>
      <c r="E21" s="110">
        <f>(2 * Solver!$R$22 + 6 *A21 * Solver!$R$23)*constants!$B$12</f>
        <v>-1.2562499999999999</v>
      </c>
      <c r="F21" s="110">
        <f xml:space="preserve"> 6 *  Solver!$R$23 * constants!$B$12</f>
        <v>3.4374999999999996</v>
      </c>
      <c r="G21" s="111">
        <f>IF(A21=Main!$E$6,F22-F21,IF(A21=Main!$G$6,F22-F21,IF(A21=Main!$C$6,F21,IF(A21=Main!$I$6,-F21,0))))</f>
        <v>0</v>
      </c>
    </row>
    <row r="22" spans="1:7" s="87" customFormat="1">
      <c r="A22" s="109">
        <f>19*(A103-A3)/100</f>
        <v>0.19</v>
      </c>
      <c r="B22" s="110">
        <f>Solver!$R$20 + A22 * Solver!$R$21 + A22 ^ 2 * Solver!$R$22+Data!A22 ^ 3 * Solver!$R$23</f>
        <v>-0.13763107698796107</v>
      </c>
      <c r="C22" s="110">
        <f>Solver!$R$21+2*A22*Solver!$R$22+3*A22^2*Solver!$R$23</f>
        <v>-1.3535915573959052</v>
      </c>
      <c r="D22" s="110">
        <f>2 * Solver!$R$22 + 6 *A22 * Solver!$R$23</f>
        <v>-5.6216931216931219</v>
      </c>
      <c r="E22" s="110">
        <f>(2 * Solver!$R$22 + 6 *A22 * Solver!$R$23)*constants!$B$12</f>
        <v>-1.221875</v>
      </c>
      <c r="F22" s="110">
        <f xml:space="preserve"> 6 *  Solver!$R$23 * constants!$B$12</f>
        <v>3.4374999999999996</v>
      </c>
      <c r="G22" s="111">
        <f>IF(A22=Main!$E$6,F23-F22,IF(A22=Main!$G$6,F23-F22,IF(A22=Main!$C$6,F22,IF(A22=Main!$I$6,-F22,0))))</f>
        <v>0</v>
      </c>
    </row>
    <row r="23" spans="1:7">
      <c r="A23" s="109">
        <f>(A103-A3)/5</f>
        <v>0.2</v>
      </c>
      <c r="B23" s="110">
        <f>Solver!$R$20 + A23 * Solver!$R$21 + A23 ^ 2 * Solver!$R$22+Data!A23 ^ 3 * Solver!$R$23</f>
        <v>-0.15144544130051379</v>
      </c>
      <c r="C23" s="110">
        <f>Solver!$R$21+2*A23*Solver!$R$22+3*A23^2*Solver!$R$23</f>
        <v>-1.4090177133655395</v>
      </c>
      <c r="D23" s="110">
        <f>2 * Solver!$R$22 + 6 *A23 * Solver!$R$23</f>
        <v>-5.4635380722337246</v>
      </c>
      <c r="E23" s="110">
        <f>(2 * Solver!$R$22 + 6 *A23 * Solver!$R$23)*constants!$B$12</f>
        <v>-1.1875</v>
      </c>
      <c r="F23" s="110">
        <f xml:space="preserve"> 6 *  Solver!$R$23 * constants!$B$12</f>
        <v>3.4374999999999996</v>
      </c>
      <c r="G23" s="111">
        <f>IF(A23=Main!$E$6,F24-F23,IF(A23=Main!$G$6,F24-F23,IF(A23=Main!$C$6,F23,IF(A23=Main!$I$6,-F23,0))))</f>
        <v>0</v>
      </c>
    </row>
    <row r="24" spans="1:7" s="87" customFormat="1">
      <c r="A24" s="109">
        <f>21*(A103-A3)/100</f>
        <v>0.21</v>
      </c>
      <c r="B24" s="110">
        <f>Solver!$R$20 + A24 * Solver!$R$21 + A24 ^ 2 * Solver!$R$22+Data!A24 ^ 3 * Solver!$R$23</f>
        <v>-0.16580615942028984</v>
      </c>
      <c r="C24" s="110">
        <f>Solver!$R$21+2*A24*Solver!$R$22+3*A24^2*Solver!$R$23</f>
        <v>-1.4628623188405798</v>
      </c>
      <c r="D24" s="110">
        <f>2 * Solver!$R$22 + 6 *A24 * Solver!$R$23</f>
        <v>-5.3053830227743273</v>
      </c>
      <c r="E24" s="110">
        <f>(2 * Solver!$R$22 + 6 *A24 * Solver!$R$23)*constants!$B$12</f>
        <v>-1.153125</v>
      </c>
      <c r="F24" s="110">
        <f xml:space="preserve"> 6 *  Solver!$R$23 * constants!$B$12</f>
        <v>3.4374999999999996</v>
      </c>
      <c r="G24" s="111">
        <f>IF(A24=Main!$E$6,F25-F24,IF(A24=Main!$G$6,F25-F24,IF(A24=Main!$C$6,F24,IF(A24=Main!$I$6,-F24,0))))</f>
        <v>0</v>
      </c>
    </row>
    <row r="25" spans="1:7" s="87" customFormat="1">
      <c r="A25" s="109">
        <f>22*(A103-A3)/100</f>
        <v>0.22</v>
      </c>
      <c r="B25" s="110">
        <f>Solver!$R$20 + A25 * Solver!$R$21 + A25 ^ 2 * Solver!$R$22+Data!A25 ^ 3 * Solver!$R$23</f>
        <v>-0.18069741584234339</v>
      </c>
      <c r="C25" s="110">
        <f>Solver!$R$21+2*A25*Solver!$R$22+3*A25^2*Solver!$R$23</f>
        <v>-1.515125373821026</v>
      </c>
      <c r="D25" s="110">
        <f>2 * Solver!$R$22 + 6 *A25 * Solver!$R$23</f>
        <v>-5.14722797331493</v>
      </c>
      <c r="E25" s="110">
        <f>(2 * Solver!$R$22 + 6 *A25 * Solver!$R$23)*constants!$B$12</f>
        <v>-1.1187499999999999</v>
      </c>
      <c r="F25" s="110">
        <f xml:space="preserve"> 6 *  Solver!$R$23 * constants!$B$12</f>
        <v>3.4374999999999996</v>
      </c>
      <c r="G25" s="111">
        <f>IF(A25=Main!$E$6,F26-F25,IF(A25=Main!$G$6,F26-F25,IF(A25=Main!$C$6,F25,IF(A25=Main!$I$6,-F25,0))))</f>
        <v>0</v>
      </c>
    </row>
    <row r="26" spans="1:7" s="87" customFormat="1">
      <c r="A26" s="109">
        <f>23*(A103-A3)/100</f>
        <v>0.23</v>
      </c>
      <c r="B26" s="110">
        <f>Solver!$R$20 + A26 * Solver!$R$21 + A26 ^ 2 * Solver!$R$22+Data!A26 ^ 3 * Solver!$R$23</f>
        <v>-0.19610339506172841</v>
      </c>
      <c r="C26" s="110">
        <f>Solver!$R$21+2*A26*Solver!$R$22+3*A26^2*Solver!$R$23</f>
        <v>-1.5658068783068784</v>
      </c>
      <c r="D26" s="110">
        <f>2 * Solver!$R$22 + 6 *A26 * Solver!$R$23</f>
        <v>-4.9890729238555327</v>
      </c>
      <c r="E26" s="110">
        <f>(2 * Solver!$R$22 + 6 *A26 * Solver!$R$23)*constants!$B$12</f>
        <v>-1.0843749999999999</v>
      </c>
      <c r="F26" s="110">
        <f xml:space="preserve"> 6 *  Solver!$R$23 * constants!$B$12</f>
        <v>3.4374999999999996</v>
      </c>
      <c r="G26" s="111">
        <f>IF(A26=Main!$E$6,F27-F26,IF(A26=Main!$G$6,F27-F26,IF(A26=Main!$C$6,F26,IF(A26=Main!$I$6,-F26,0))))</f>
        <v>0</v>
      </c>
    </row>
    <row r="27" spans="1:7" s="87" customFormat="1">
      <c r="A27" s="109">
        <f>24*(A103-A3)/100</f>
        <v>0.24</v>
      </c>
      <c r="B27" s="110">
        <f>Solver!$R$20 + A27 * Solver!$R$21 + A27 ^ 2 * Solver!$R$22+Data!A27 ^ 3 * Solver!$R$23</f>
        <v>-0.21200828157349896</v>
      </c>
      <c r="C27" s="110">
        <f>Solver!$R$21+2*A27*Solver!$R$22+3*A27^2*Solver!$R$23</f>
        <v>-1.6149068322981366</v>
      </c>
      <c r="D27" s="110">
        <f>2 * Solver!$R$22 + 6 *A27 * Solver!$R$23</f>
        <v>-4.8309178743961354</v>
      </c>
      <c r="E27" s="110">
        <f>(2 * Solver!$R$22 + 6 *A27 * Solver!$R$23)*constants!$B$12</f>
        <v>-1.05</v>
      </c>
      <c r="F27" s="110">
        <f xml:space="preserve"> 6 *  Solver!$R$23 * constants!$B$12</f>
        <v>3.4374999999999996</v>
      </c>
      <c r="G27" s="111">
        <f>IF(A27=Main!$E$6,F28-F27,IF(A27=Main!$G$6,F28-F27,IF(A27=Main!$C$6,F27,IF(A27=Main!$I$6,-F27,0))))</f>
        <v>0</v>
      </c>
    </row>
    <row r="28" spans="1:7">
      <c r="A28" s="109">
        <f>(A103-A3)/4</f>
        <v>0.25</v>
      </c>
      <c r="B28" s="110">
        <f>Solver!$R$20 + A28 * Solver!$R$21 + A28 ^ 2 * Solver!$R$22+Data!A28 ^ 3 * Solver!$R$23</f>
        <v>-0.22839625987270917</v>
      </c>
      <c r="C28" s="110">
        <f>Solver!$R$21+2*A28*Solver!$R$22+3*A28^2*Solver!$R$23</f>
        <v>-1.6624252357948011</v>
      </c>
      <c r="D28" s="110">
        <f>2 * Solver!$R$22 + 6 *A28 * Solver!$R$23</f>
        <v>-4.6727628249367381</v>
      </c>
      <c r="E28" s="110">
        <f>(2 * Solver!$R$22 + 6 *A28 * Solver!$R$23)*constants!$B$12</f>
        <v>-1.015625</v>
      </c>
      <c r="F28" s="110">
        <f xml:space="preserve"> 6 *  Solver!$R$23 * constants!$B$12</f>
        <v>3.4374999999999996</v>
      </c>
      <c r="G28" s="111">
        <f>IF(A28=Main!$E$6,F29-F28,IF(A28=Main!$G$6,F29-F28,IF(A28=Main!$C$6,F28,IF(A28=Main!$I$6,-F28,0))))</f>
        <v>0</v>
      </c>
    </row>
    <row r="29" spans="1:7" s="87" customFormat="1">
      <c r="A29" s="109">
        <f>26*(A103-A3)/100</f>
        <v>0.26</v>
      </c>
      <c r="B29" s="110">
        <f>Solver!$R$20 + A29 * Solver!$R$21 + A29 ^ 2 * Solver!$R$22+Data!A29 ^ 3 * Solver!$R$23</f>
        <v>-0.24525151445441304</v>
      </c>
      <c r="C29" s="110">
        <f>Solver!$R$21+2*A29*Solver!$R$22+3*A29^2*Solver!$R$23</f>
        <v>-1.7083620887968713</v>
      </c>
      <c r="D29" s="110">
        <f>2 * Solver!$R$22 + 6 *A29 * Solver!$R$23</f>
        <v>-4.5146077754773408</v>
      </c>
      <c r="E29" s="110">
        <f>(2 * Solver!$R$22 + 6 *A29 * Solver!$R$23)*constants!$B$12</f>
        <v>-0.98124999999999996</v>
      </c>
      <c r="F29" s="110">
        <f xml:space="preserve"> 6 *  Solver!$R$23 * constants!$B$12</f>
        <v>3.4374999999999996</v>
      </c>
      <c r="G29" s="111">
        <f>IF(A29=Main!$E$6,F30-F29,IF(A29=Main!$G$6,F30-F29,IF(A29=Main!$C$6,F29,IF(A29=Main!$I$6,-F29,0))))</f>
        <v>0</v>
      </c>
    </row>
    <row r="30" spans="1:7" s="87" customFormat="1">
      <c r="A30" s="109">
        <f>27*(A103-A3)/100</f>
        <v>0.27</v>
      </c>
      <c r="B30" s="110">
        <f>Solver!$R$20 + A30 * Solver!$R$21 + A30 ^ 2 * Solver!$R$22+Data!A30 ^ 3 * Solver!$R$23</f>
        <v>-0.26255822981366461</v>
      </c>
      <c r="C30" s="110">
        <f>Solver!$R$21+2*A30*Solver!$R$22+3*A30^2*Solver!$R$23</f>
        <v>-1.7527173913043479</v>
      </c>
      <c r="D30" s="110">
        <f>2 * Solver!$R$22 + 6 *A30 * Solver!$R$23</f>
        <v>-4.3564527260179435</v>
      </c>
      <c r="E30" s="110">
        <f>(2 * Solver!$R$22 + 6 *A30 * Solver!$R$23)*constants!$B$12</f>
        <v>-0.94687500000000002</v>
      </c>
      <c r="F30" s="110">
        <f xml:space="preserve"> 6 *  Solver!$R$23 * constants!$B$12</f>
        <v>3.4374999999999996</v>
      </c>
      <c r="G30" s="111">
        <f>IF(A30=Main!$E$6,F31-F30,IF(A30=Main!$G$6,F31-F30,IF(A30=Main!$C$6,F30,IF(A30=Main!$I$6,-F30,0))))</f>
        <v>0</v>
      </c>
    </row>
    <row r="31" spans="1:7" s="87" customFormat="1">
      <c r="A31" s="109">
        <f>28*(A103-A3)/100</f>
        <v>0.28000000000000003</v>
      </c>
      <c r="B31" s="110">
        <f>Solver!$R$20 + A31 * Solver!$R$21 + A31 ^ 2 * Solver!$R$22+Data!A31 ^ 3 * Solver!$R$23</f>
        <v>-0.28030059044551803</v>
      </c>
      <c r="C31" s="110">
        <f>Solver!$R$21+2*A31*Solver!$R$22+3*A31^2*Solver!$R$23</f>
        <v>-1.7954911433172307</v>
      </c>
      <c r="D31" s="110">
        <f>2 * Solver!$R$22 + 6 *A31 * Solver!$R$23</f>
        <v>-4.1982976765585462</v>
      </c>
      <c r="E31" s="110">
        <f>(2 * Solver!$R$22 + 6 *A31 * Solver!$R$23)*constants!$B$12</f>
        <v>-0.91249999999999998</v>
      </c>
      <c r="F31" s="110">
        <f xml:space="preserve"> 6 *  Solver!$R$23 * constants!$B$12</f>
        <v>3.4374999999999996</v>
      </c>
      <c r="G31" s="111">
        <f>IF(A31=Main!$E$6,F32-F31,IF(A31=Main!$G$6,F32-F31,IF(A31=Main!$C$6,F31,IF(A31=Main!$I$6,-F31,0))))</f>
        <v>0</v>
      </c>
    </row>
    <row r="32" spans="1:7" s="87" customFormat="1">
      <c r="A32" s="109">
        <f>29*(A103-A3)/100</f>
        <v>0.28999999999999998</v>
      </c>
      <c r="B32" s="110">
        <f>Solver!$R$20 + A32 * Solver!$R$21 + A32 ^ 2 * Solver!$R$22+Data!A32 ^ 3 * Solver!$R$23</f>
        <v>-0.2984627808450272</v>
      </c>
      <c r="C32" s="110">
        <f>Solver!$R$21+2*A32*Solver!$R$22+3*A32^2*Solver!$R$23</f>
        <v>-1.8366833448355191</v>
      </c>
      <c r="D32" s="110">
        <f>2 * Solver!$R$22 + 6 *A32 * Solver!$R$23</f>
        <v>-4.0401426270991498</v>
      </c>
      <c r="E32" s="110">
        <f>(2 * Solver!$R$22 + 6 *A32 * Solver!$R$23)*constants!$B$12</f>
        <v>-0.87812500000000016</v>
      </c>
      <c r="F32" s="110">
        <f xml:space="preserve"> 6 *  Solver!$R$23 * constants!$B$12</f>
        <v>3.4374999999999996</v>
      </c>
      <c r="G32" s="111">
        <f>IF(A32=Main!$E$6,F33-F32,IF(A32=Main!$G$6,F33-F32,IF(A32=Main!$C$6,F32,IF(A32=Main!$I$6,-F32,0))))</f>
        <v>0</v>
      </c>
    </row>
    <row r="33" spans="1:7">
      <c r="A33" s="109">
        <f>6*(A103-A3)/20</f>
        <v>0.3</v>
      </c>
      <c r="B33" s="110">
        <f>Solver!$R$20 + A33 * Solver!$R$21 + A33 ^ 2 * Solver!$R$22+Data!A33 ^ 3 * Solver!$R$23</f>
        <v>-0.3170289855072464</v>
      </c>
      <c r="C33" s="110">
        <f>Solver!$R$21+2*A33*Solver!$R$22+3*A33^2*Solver!$R$23</f>
        <v>-1.8762939958592133</v>
      </c>
      <c r="D33" s="110">
        <f>2 * Solver!$R$22 + 6 *A33 * Solver!$R$23</f>
        <v>-3.8819875776397526</v>
      </c>
      <c r="E33" s="110">
        <f>(2 * Solver!$R$22 + 6 *A33 * Solver!$R$23)*constants!$B$12</f>
        <v>-0.84375000000000022</v>
      </c>
      <c r="F33" s="110">
        <f xml:space="preserve"> 6 *  Solver!$R$23 * constants!$B$12</f>
        <v>3.4374999999999996</v>
      </c>
      <c r="G33" s="111">
        <f>IF(A33=Main!$E$6,F34-F33,IF(A33=Main!$G$6,F34-F33,IF(A33=Main!$C$6,F33,IF(A33=Main!$I$6,-F33,0))))</f>
        <v>0</v>
      </c>
    </row>
    <row r="34" spans="1:7" s="87" customFormat="1">
      <c r="A34" s="109">
        <f>31*(A103-A3)/100</f>
        <v>0.31</v>
      </c>
      <c r="B34" s="110">
        <f>Solver!$R$20 + A34 * Solver!$R$21 + A34 ^ 2 * Solver!$R$22+Data!A34 ^ 3 * Solver!$R$23</f>
        <v>-0.33598338892722956</v>
      </c>
      <c r="C34" s="110">
        <f>Solver!$R$21+2*A34*Solver!$R$22+3*A34^2*Solver!$R$23</f>
        <v>-1.9143230963883138</v>
      </c>
      <c r="D34" s="110">
        <f>2 * Solver!$R$22 + 6 *A34 * Solver!$R$23</f>
        <v>-3.7238325281803553</v>
      </c>
      <c r="E34" s="110">
        <f>(2 * Solver!$R$22 + 6 *A34 * Solver!$R$23)*constants!$B$12</f>
        <v>-0.80937500000000018</v>
      </c>
      <c r="F34" s="110">
        <f xml:space="preserve"> 6 *  Solver!$R$23 * constants!$B$12</f>
        <v>3.4374999999999996</v>
      </c>
      <c r="G34" s="111">
        <f>IF(A34=Main!$E$6,F35-F34,IF(A34=Main!$G$6,F35-F34,IF(A34=Main!$C$6,F34,IF(A34=Main!$I$6,-F34,0))))</f>
        <v>0</v>
      </c>
    </row>
    <row r="35" spans="1:7" s="87" customFormat="1">
      <c r="A35" s="109">
        <f>32*(A103-A3)/100</f>
        <v>0.32</v>
      </c>
      <c r="B35" s="110">
        <f>Solver!$R$20 + A35 * Solver!$R$21 + A35 ^ 2 * Solver!$R$22+Data!A35 ^ 3 * Solver!$R$23</f>
        <v>-0.3553101756000307</v>
      </c>
      <c r="C35" s="110">
        <f>Solver!$R$21+2*A35*Solver!$R$22+3*A35^2*Solver!$R$23</f>
        <v>-1.9507706464228205</v>
      </c>
      <c r="D35" s="110">
        <f>2 * Solver!$R$22 + 6 *A35 * Solver!$R$23</f>
        <v>-3.565677478720958</v>
      </c>
      <c r="E35" s="110">
        <f>(2 * Solver!$R$22 + 6 *A35 * Solver!$R$23)*constants!$B$12</f>
        <v>-0.77500000000000013</v>
      </c>
      <c r="F35" s="110">
        <f xml:space="preserve"> 6 *  Solver!$R$23 * constants!$B$12</f>
        <v>3.4374999999999996</v>
      </c>
      <c r="G35" s="111">
        <f>IF(A35=Main!$E$6,F36-F35,IF(A35=Main!$G$6,F36-F35,IF(A35=Main!$C$6,F35,IF(A35=Main!$I$6,-F35,0))))</f>
        <v>0</v>
      </c>
    </row>
    <row r="36" spans="1:7" s="87" customFormat="1">
      <c r="A36" s="109">
        <f>33*(A103-A3)/100</f>
        <v>0.33</v>
      </c>
      <c r="B36" s="110">
        <f>Solver!$R$20 + A36 * Solver!$R$21 + A36 ^ 2 * Solver!$R$22+Data!A36 ^ 3 * Solver!$R$23</f>
        <v>-0.37499353002070396</v>
      </c>
      <c r="C36" s="110">
        <f>Solver!$R$21+2*A36*Solver!$R$22+3*A36^2*Solver!$R$23</f>
        <v>-1.985636645962733</v>
      </c>
      <c r="D36" s="110">
        <f>2 * Solver!$R$22 + 6 *A36 * Solver!$R$23</f>
        <v>-3.4075224292615607</v>
      </c>
      <c r="E36" s="110">
        <f>(2 * Solver!$R$22 + 6 *A36 * Solver!$R$23)*constants!$B$12</f>
        <v>-0.7406250000000002</v>
      </c>
      <c r="F36" s="110">
        <f xml:space="preserve"> 6 *  Solver!$R$23 * constants!$B$12</f>
        <v>3.4374999999999996</v>
      </c>
      <c r="G36" s="111">
        <f>IF(A36=Main!$E$6,F37-F36,IF(A36=Main!$G$6,F37-F36,IF(A36=Main!$C$6,F36,IF(A36=Main!$I$6,-F36,0))))</f>
        <v>0</v>
      </c>
    </row>
    <row r="37" spans="1:7" s="87" customFormat="1">
      <c r="A37" s="109">
        <f>34*(A103-A3)/100</f>
        <v>0.34</v>
      </c>
      <c r="B37" s="110">
        <f>Solver!$R$20 + A37 * Solver!$R$21 + A37 ^ 2 * Solver!$R$22+Data!A37 ^ 3 * Solver!$R$23</f>
        <v>-0.39501763668430345</v>
      </c>
      <c r="C37" s="110">
        <f>Solver!$R$21+2*A37*Solver!$R$22+3*A37^2*Solver!$R$23</f>
        <v>-2.0189210950080514</v>
      </c>
      <c r="D37" s="110">
        <f>2 * Solver!$R$22 + 6 *A37 * Solver!$R$23</f>
        <v>-3.2493673798021634</v>
      </c>
      <c r="E37" s="110">
        <f>(2 * Solver!$R$22 + 6 *A37 * Solver!$R$23)*constants!$B$12</f>
        <v>-0.70625000000000016</v>
      </c>
      <c r="F37" s="110">
        <f xml:space="preserve"> 6 *  Solver!$R$23 * constants!$B$12</f>
        <v>3.4374999999999996</v>
      </c>
      <c r="G37" s="111">
        <f>IF(A37=Main!$E$6,F38-F37,IF(A37=Main!$G$6,F38-F37,IF(A37=Main!$C$6,F37,IF(A37=Main!$I$6,-F37,0))))</f>
        <v>0</v>
      </c>
    </row>
    <row r="38" spans="1:7">
      <c r="A38" s="109">
        <f>7*(A103-A3)/20</f>
        <v>0.35</v>
      </c>
      <c r="B38" s="110">
        <f>Solver!$R$20 + A38 * Solver!$R$21 + A38 ^ 2 * Solver!$R$22+Data!A38 ^ 3 * Solver!$R$23</f>
        <v>-0.41536668008588296</v>
      </c>
      <c r="C38" s="110">
        <f>Solver!$R$21+2*A38*Solver!$R$22+3*A38^2*Solver!$R$23</f>
        <v>-2.0506239935587764</v>
      </c>
      <c r="D38" s="110">
        <f>2 * Solver!$R$22 + 6 *A38 * Solver!$R$23</f>
        <v>-3.091212330342767</v>
      </c>
      <c r="E38" s="110">
        <f>(2 * Solver!$R$22 + 6 *A38 * Solver!$R$23)*constants!$B$12</f>
        <v>-0.67187500000000033</v>
      </c>
      <c r="F38" s="110">
        <f xml:space="preserve"> 6 *  Solver!$R$23 * constants!$B$12</f>
        <v>3.4374999999999996</v>
      </c>
      <c r="G38" s="111">
        <f>IF(A38=Main!$E$6,F39-F38,IF(A38=Main!$G$6,F39-F38,IF(A38=Main!$C$6,F38,IF(A38=Main!$I$6,-F38,0))))</f>
        <v>0</v>
      </c>
    </row>
    <row r="39" spans="1:7" s="87" customFormat="1">
      <c r="A39" s="109">
        <f>36*(A103-A3)/100</f>
        <v>0.36</v>
      </c>
      <c r="B39" s="110">
        <f>Solver!$R$20 + A39 * Solver!$R$21 + A39 ^ 2 * Solver!$R$22+Data!A39 ^ 3 * Solver!$R$23</f>
        <v>-0.43602484472049685</v>
      </c>
      <c r="C39" s="110">
        <f>Solver!$R$21+2*A39*Solver!$R$22+3*A39^2*Solver!$R$23</f>
        <v>-2.0807453416149073</v>
      </c>
      <c r="D39" s="110">
        <f>2 * Solver!$R$22 + 6 *A39 * Solver!$R$23</f>
        <v>-2.9330572808833679</v>
      </c>
      <c r="E39" s="110">
        <f>(2 * Solver!$R$22 + 6 *A39 * Solver!$R$23)*constants!$B$12</f>
        <v>-0.63749999999999996</v>
      </c>
      <c r="F39" s="110">
        <f xml:space="preserve"> 6 *  Solver!$R$23 * constants!$B$12</f>
        <v>3.4374999999999996</v>
      </c>
      <c r="G39" s="111">
        <f>IF(A39=Main!$E$6,F40-F39,IF(A39=Main!$G$6,F40-F39,IF(A39=Main!$C$6,F39,IF(A39=Main!$I$6,-F39,0))))</f>
        <v>0</v>
      </c>
    </row>
    <row r="40" spans="1:7" s="87" customFormat="1">
      <c r="A40" s="109">
        <f>37*(A103-A3)/100</f>
        <v>0.37</v>
      </c>
      <c r="B40" s="110">
        <f>Solver!$R$20 + A40 * Solver!$R$21 + A40 ^ 2 * Solver!$R$22+Data!A40 ^ 3 * Solver!$R$23</f>
        <v>-0.45697631508319919</v>
      </c>
      <c r="C40" s="110">
        <f>Solver!$R$21+2*A40*Solver!$R$22+3*A40^2*Solver!$R$23</f>
        <v>-2.1092851391764436</v>
      </c>
      <c r="D40" s="110">
        <f>2 * Solver!$R$22 + 6 *A40 * Solver!$R$23</f>
        <v>-2.7749022314239715</v>
      </c>
      <c r="E40" s="110">
        <f>(2 * Solver!$R$22 + 6 *A40 * Solver!$R$23)*constants!$B$12</f>
        <v>-0.60312500000000013</v>
      </c>
      <c r="F40" s="110">
        <f xml:space="preserve"> 6 *  Solver!$R$23 * constants!$B$12</f>
        <v>3.4374999999999996</v>
      </c>
      <c r="G40" s="111">
        <f>IF(A40=Main!$E$6,F41-F40,IF(A40=Main!$G$6,F41-F40,IF(A40=Main!$C$6,F40,IF(A40=Main!$I$6,-F40,0))))</f>
        <v>0</v>
      </c>
    </row>
    <row r="41" spans="1:7" s="87" customFormat="1">
      <c r="A41" s="109">
        <f>38*(A103-A3)/100</f>
        <v>0.38</v>
      </c>
      <c r="B41" s="110">
        <f>Solver!$R$20 + A41 * Solver!$R$21 + A41 ^ 2 * Solver!$R$22+Data!A41 ^ 3 * Solver!$R$23</f>
        <v>-0.47820527566904381</v>
      </c>
      <c r="C41" s="110">
        <f>Solver!$R$21+2*A41*Solver!$R$22+3*A41^2*Solver!$R$23</f>
        <v>-2.1362433862433861</v>
      </c>
      <c r="D41" s="110">
        <f>2 * Solver!$R$22 + 6 *A41 * Solver!$R$23</f>
        <v>-2.6167471819645733</v>
      </c>
      <c r="E41" s="110">
        <f>(2 * Solver!$R$22 + 6 *A41 * Solver!$R$23)*constants!$B$12</f>
        <v>-0.56874999999999998</v>
      </c>
      <c r="F41" s="110">
        <f xml:space="preserve"> 6 *  Solver!$R$23 * constants!$B$12</f>
        <v>3.4374999999999996</v>
      </c>
      <c r="G41" s="111">
        <f>IF(A41=Main!$E$6,F42-F41,IF(A41=Main!$G$6,F42-F41,IF(A41=Main!$C$6,F41,IF(A41=Main!$I$6,-F41,0))))</f>
        <v>0</v>
      </c>
    </row>
    <row r="42" spans="1:7" s="87" customFormat="1">
      <c r="A42" s="109">
        <f>38*(A103-A3)/100</f>
        <v>0.38</v>
      </c>
      <c r="B42" s="110">
        <f>Solver!$R$20 + A42 * Solver!$R$21 + A42 ^ 2 * Solver!$R$22+Data!A42 ^ 3 * Solver!$R$23</f>
        <v>-0.47820527566904381</v>
      </c>
      <c r="C42" s="110">
        <f>Solver!$R$21+2*A42*Solver!$R$22+3*A42^2*Solver!$R$23</f>
        <v>-2.1362433862433861</v>
      </c>
      <c r="D42" s="110">
        <f>2 * Solver!$R$22 + 6 *A42 * Solver!$R$23</f>
        <v>-2.6167471819645733</v>
      </c>
      <c r="E42" s="110">
        <f>(2 * Solver!$R$22 + 6 *A42 * Solver!$R$23)*constants!$B$12</f>
        <v>-0.56874999999999998</v>
      </c>
      <c r="F42" s="110">
        <f xml:space="preserve"> 6 *  Solver!$R$23 * constants!$B$12</f>
        <v>3.4374999999999996</v>
      </c>
      <c r="G42" s="111">
        <f>IF(A42=Main!$E$6,F43-F42,IF(A42=Main!$G$6,F43-F42,IF(A42=Main!$C$6,F42,IF(A42=Main!$I$6,-F42,0))))</f>
        <v>0</v>
      </c>
    </row>
    <row r="43" spans="1:7">
      <c r="A43" s="109">
        <f>8*(A103-A3)/20</f>
        <v>0.4</v>
      </c>
      <c r="B43" s="110">
        <f>Solver!$R$20 + A43 * Solver!$R$21 + A43 ^ 2 * Solver!$R$22+Data!A43 ^ 3 * Solver!$R$23</f>
        <v>-0.52143240549037662</v>
      </c>
      <c r="C43" s="110">
        <f>Solver!$R$21+2*A43*Solver!$R$22+3*A43^2*Solver!$R$23</f>
        <v>-2.1854152288934898</v>
      </c>
      <c r="D43" s="110">
        <f>2 * Solver!$R$22 + 6 *A43 * Solver!$R$23</f>
        <v>-2.3004370830457788</v>
      </c>
      <c r="E43" s="110">
        <f>(2 * Solver!$R$22 + 6 *A43 * Solver!$R$23)*constants!$B$12</f>
        <v>-0.5</v>
      </c>
      <c r="F43" s="110">
        <f xml:space="preserve"> 6 *  Solver!$R$23 * constants!$B$12</f>
        <v>3.4374999999999996</v>
      </c>
      <c r="G43" s="111">
        <f>IF(A43=Main!$E$6,F44-F43,IF(A43=Main!$G$6,F44-F43,IF(A43=Main!$C$6,F43,IF(A43=Main!$I$6,-F43,0))))</f>
        <v>0</v>
      </c>
    </row>
    <row r="44" spans="1:7" s="87" customFormat="1">
      <c r="A44" s="109">
        <f>41*(A103-A3)/100</f>
        <v>0.41</v>
      </c>
      <c r="B44" s="110">
        <f>Solver!$R$20 + A44 * Solver!$R$21 + A44 ^ 2 * Solver!$R$22+Data!A44 ^ 3 * Solver!$R$23</f>
        <v>-0.54339894371597264</v>
      </c>
      <c r="C44" s="110">
        <f>Solver!$R$21+2*A44*Solver!$R$22+3*A44^2*Solver!$R$23</f>
        <v>-2.2076288244766511</v>
      </c>
      <c r="D44" s="110">
        <f>2 * Solver!$R$22 + 6 *A44 * Solver!$R$23</f>
        <v>-2.1422820335863824</v>
      </c>
      <c r="E44" s="110">
        <f>(2 * Solver!$R$22 + 6 *A44 * Solver!$R$23)*constants!$B$12</f>
        <v>-0.46562500000000018</v>
      </c>
      <c r="F44" s="110">
        <f xml:space="preserve"> 6 *  Solver!$R$23 * constants!$B$12</f>
        <v>3.4374999999999996</v>
      </c>
      <c r="G44" s="111">
        <f>IF(A44=Main!$E$6,F45-F44,IF(A44=Main!$G$6,F45-F44,IF(A44=Main!$C$6,F44,IF(A44=Main!$I$6,-F44,0))))</f>
        <v>0</v>
      </c>
    </row>
    <row r="45" spans="1:7" s="87" customFormat="1">
      <c r="A45" s="109">
        <f>42*(A103-A3)/100</f>
        <v>0.42</v>
      </c>
      <c r="B45" s="110">
        <f>Solver!$R$20 + A45 * Solver!$R$21 + A45 ^ 2 * Solver!$R$22+Data!A45 ^ 3 * Solver!$R$23</f>
        <v>-0.56557971014492758</v>
      </c>
      <c r="C45" s="110">
        <f>Solver!$R$21+2*A45*Solver!$R$22+3*A45^2*Solver!$R$23</f>
        <v>-2.2282608695652177</v>
      </c>
      <c r="D45" s="110">
        <f>2 * Solver!$R$22 + 6 *A45 * Solver!$R$23</f>
        <v>-1.9841269841269851</v>
      </c>
      <c r="E45" s="110">
        <f>(2 * Solver!$R$22 + 6 *A45 * Solver!$R$23)*constants!$B$12</f>
        <v>-0.43125000000000019</v>
      </c>
      <c r="F45" s="110">
        <f xml:space="preserve"> 6 *  Solver!$R$23 * constants!$B$12</f>
        <v>3.4374999999999996</v>
      </c>
      <c r="G45" s="111">
        <f>IF(A45=Main!$E$6,F46-F45,IF(A45=Main!$G$6,F46-F45,IF(A45=Main!$C$6,F45,IF(A45=Main!$I$6,-F45,0))))</f>
        <v>0</v>
      </c>
    </row>
    <row r="46" spans="1:7" s="87" customFormat="1">
      <c r="A46" s="109">
        <f>43*(A103-A3)/100</f>
        <v>0.43</v>
      </c>
      <c r="B46" s="110">
        <f>Solver!$R$20 + A46 * Solver!$R$21 + A46 ^ 2 * Solver!$R$22+Data!A46 ^ 3 * Solver!$R$23</f>
        <v>-0.587958889272295</v>
      </c>
      <c r="C46" s="110">
        <f>Solver!$R$21+2*A46*Solver!$R$22+3*A46^2*Solver!$R$23</f>
        <v>-2.2473113641591906</v>
      </c>
      <c r="D46" s="110">
        <f>2 * Solver!$R$22 + 6 *A46 * Solver!$R$23</f>
        <v>-1.8259719346675878</v>
      </c>
      <c r="E46" s="110">
        <f>(2 * Solver!$R$22 + 6 *A46 * Solver!$R$23)*constants!$B$12</f>
        <v>-0.3968750000000002</v>
      </c>
      <c r="F46" s="110">
        <f xml:space="preserve"> 6 *  Solver!$R$23 * constants!$B$12</f>
        <v>3.4374999999999996</v>
      </c>
      <c r="G46" s="111">
        <f>IF(A46=Main!$E$6,F47-F46,IF(A46=Main!$G$6,F47-F46,IF(A46=Main!$C$6,F46,IF(A46=Main!$I$6,-F46,0))))</f>
        <v>0</v>
      </c>
    </row>
    <row r="47" spans="1:7" s="87" customFormat="1">
      <c r="A47" s="109">
        <f>44*(A103-A3)/100</f>
        <v>0.44</v>
      </c>
      <c r="B47" s="110">
        <f>Solver!$R$20 + A47 * Solver!$R$21 + A47 ^ 2 * Solver!$R$22+Data!A47 ^ 3 * Solver!$R$23</f>
        <v>-0.61052066559312945</v>
      </c>
      <c r="C47" s="110">
        <f>Solver!$R$21+2*A47*Solver!$R$22+3*A47^2*Solver!$R$23</f>
        <v>-2.2647803082585694</v>
      </c>
      <c r="D47" s="110">
        <f>2 * Solver!$R$22 + 6 *A47 * Solver!$R$23</f>
        <v>-1.6678168852081905</v>
      </c>
      <c r="E47" s="110">
        <f>(2 * Solver!$R$22 + 6 *A47 * Solver!$R$23)*constants!$B$12</f>
        <v>-0.36250000000000016</v>
      </c>
      <c r="F47" s="110">
        <f xml:space="preserve"> 6 *  Solver!$R$23 * constants!$B$12</f>
        <v>3.4374999999999996</v>
      </c>
      <c r="G47" s="111">
        <f>IF(A47=Main!$E$6,F48-F47,IF(A47=Main!$G$6,F48-F47,IF(A47=Main!$C$6,F47,IF(A47=Main!$I$6,-F47,0))))</f>
        <v>0</v>
      </c>
    </row>
    <row r="48" spans="1:7">
      <c r="A48" s="109">
        <f>9*(A103-A3)/20</f>
        <v>0.45</v>
      </c>
      <c r="B48" s="110">
        <f>Solver!$R$20 + A48 * Solver!$R$21 + A48 ^ 2 * Solver!$R$22+Data!A48 ^ 3 * Solver!$R$23</f>
        <v>-0.63324922360248459</v>
      </c>
      <c r="C48" s="110">
        <f>Solver!$R$21+2*A48*Solver!$R$22+3*A48^2*Solver!$R$23</f>
        <v>-2.2806677018633543</v>
      </c>
      <c r="D48" s="110">
        <f>2 * Solver!$R$22 + 6 *A48 * Solver!$R$23</f>
        <v>-1.5096618357487923</v>
      </c>
      <c r="E48" s="110">
        <f>(2 * Solver!$R$22 + 6 *A48 * Solver!$R$23)*constants!$B$12</f>
        <v>-0.328125</v>
      </c>
      <c r="F48" s="110">
        <f xml:space="preserve"> 6 *  Solver!$R$23 * constants!$B$12</f>
        <v>3.4374999999999996</v>
      </c>
      <c r="G48" s="111">
        <f>IF(A48=Main!$E$6,F49-F48,IF(A48=Main!$G$6,F49-F48,IF(A48=Main!$C$6,F48,IF(A48=Main!$I$6,-F48,0))))</f>
        <v>0</v>
      </c>
    </row>
    <row r="49" spans="1:7" s="87" customFormat="1">
      <c r="A49" s="109">
        <f>46*(A103-A3)/100</f>
        <v>0.46</v>
      </c>
      <c r="B49" s="110">
        <f>Solver!$R$20 + A49 * Solver!$R$21 + A49 ^ 2 * Solver!$R$22+Data!A49 ^ 3 * Solver!$R$23</f>
        <v>-0.65612874779541452</v>
      </c>
      <c r="C49" s="110">
        <f>Solver!$R$21+2*A49*Solver!$R$22+3*A49^2*Solver!$R$23</f>
        <v>-2.2949735449735451</v>
      </c>
      <c r="D49" s="110">
        <f>2 * Solver!$R$22 + 6 *A49 * Solver!$R$23</f>
        <v>-1.351506786289395</v>
      </c>
      <c r="E49" s="110">
        <f>(2 * Solver!$R$22 + 6 *A49 * Solver!$R$23)*constants!$B$12</f>
        <v>-0.29375000000000001</v>
      </c>
      <c r="F49" s="110">
        <f xml:space="preserve"> 6 *  Solver!$R$23 * constants!$B$12</f>
        <v>3.4374999999999996</v>
      </c>
      <c r="G49" s="111">
        <f>IF(A49=Main!$E$6,F50-F49,IF(A49=Main!$G$6,F50-F49,IF(A49=Main!$C$6,F49,IF(A49=Main!$I$6,-F49,0))))</f>
        <v>0</v>
      </c>
    </row>
    <row r="50" spans="1:7" s="87" customFormat="1">
      <c r="A50" s="109">
        <f>47*(A103-A3)/100</f>
        <v>0.47</v>
      </c>
      <c r="B50" s="110">
        <f>Solver!$R$20 + A50 * Solver!$R$21 + A50 ^ 2 * Solver!$R$22+Data!A50 ^ 3 * Solver!$R$23</f>
        <v>-0.67914342266697347</v>
      </c>
      <c r="C50" s="110">
        <f>Solver!$R$21+2*A50*Solver!$R$22+3*A50^2*Solver!$R$23</f>
        <v>-2.3076978375891422</v>
      </c>
      <c r="D50" s="110">
        <f>2 * Solver!$R$22 + 6 *A50 * Solver!$R$23</f>
        <v>-1.1933517368299986</v>
      </c>
      <c r="E50" s="110">
        <f>(2 * Solver!$R$22 + 6 *A50 * Solver!$R$23)*constants!$B$12</f>
        <v>-0.25937500000000019</v>
      </c>
      <c r="F50" s="110">
        <f xml:space="preserve"> 6 *  Solver!$R$23 * constants!$B$12</f>
        <v>3.4374999999999996</v>
      </c>
      <c r="G50" s="111">
        <f>IF(A50=Main!$E$6,F51-F50,IF(A50=Main!$G$6,F51-F50,IF(A50=Main!$C$6,F50,IF(A50=Main!$I$6,-F50,0))))</f>
        <v>0</v>
      </c>
    </row>
    <row r="51" spans="1:7" s="87" customFormat="1">
      <c r="A51" s="109">
        <f>48*(A103-A3)/100</f>
        <v>0.48</v>
      </c>
      <c r="B51" s="110">
        <f>Solver!$R$20 + A51 * Solver!$R$21 + A51 ^ 2 * Solver!$R$22+Data!A51 ^ 3 * Solver!$R$23</f>
        <v>-0.70227743271221532</v>
      </c>
      <c r="C51" s="110">
        <f>Solver!$R$21+2*A51*Solver!$R$22+3*A51^2*Solver!$R$23</f>
        <v>-2.318840579710145</v>
      </c>
      <c r="D51" s="110">
        <f>2 * Solver!$R$22 + 6 *A51 * Solver!$R$23</f>
        <v>-1.0351966873706013</v>
      </c>
      <c r="E51" s="110">
        <f>(2 * Solver!$R$22 + 6 *A51 * Solver!$R$23)*constants!$B$12</f>
        <v>-0.2250000000000002</v>
      </c>
      <c r="F51" s="110">
        <f xml:space="preserve"> 6 *  Solver!$R$23 * constants!$B$12</f>
        <v>3.4374999999999996</v>
      </c>
      <c r="G51" s="111">
        <f>IF(A51=Main!$E$6,F52-F51,IF(A51=Main!$G$6,F52-F51,IF(A51=Main!$C$6,F51,IF(A51=Main!$I$6,-F51,0))))</f>
        <v>0</v>
      </c>
    </row>
    <row r="52" spans="1:7" s="87" customFormat="1">
      <c r="A52" s="109">
        <f>49*(A103-A3)/100</f>
        <v>0.49</v>
      </c>
      <c r="B52" s="110">
        <f>Solver!$R$20 + A52 * Solver!$R$21 + A52 ^ 2 * Solver!$R$22+Data!A52 ^ 3 * Solver!$R$23</f>
        <v>-0.7255149624261944</v>
      </c>
      <c r="C52" s="110">
        <f>Solver!$R$21+2*A52*Solver!$R$22+3*A52^2*Solver!$R$23</f>
        <v>-2.3284017713365541</v>
      </c>
      <c r="D52" s="110">
        <f>2 * Solver!$R$22 + 6 *A52 * Solver!$R$23</f>
        <v>-0.87704163791120404</v>
      </c>
      <c r="E52" s="110">
        <f>(2 * Solver!$R$22 + 6 *A52 * Solver!$R$23)*constants!$B$12</f>
        <v>-0.19062500000000018</v>
      </c>
      <c r="F52" s="110">
        <f xml:space="preserve"> 6 *  Solver!$R$23 * constants!$B$12</f>
        <v>3.4374999999999996</v>
      </c>
      <c r="G52" s="111">
        <f>IF(A52=Main!$E$6,F53-F52,IF(A52=Main!$G$6,F53-F52,IF(A52=Main!$C$6,F52,IF(A52=Main!$I$6,-F52,0))))</f>
        <v>0</v>
      </c>
    </row>
    <row r="53" spans="1:7">
      <c r="A53" s="109">
        <f>(A103-A3)/2</f>
        <v>0.5</v>
      </c>
      <c r="B53" s="110">
        <f>Solver!$R$20 + A53 * Solver!$R$21 + A53 ^ 2 * Solver!$R$22+Data!A53 ^ 3 * Solver!$R$23</f>
        <v>-0.74884019630396448</v>
      </c>
      <c r="C53" s="110">
        <f>Solver!$R$21+2*A53*Solver!$R$22+3*A53^2*Solver!$R$23</f>
        <v>-2.3363814124683691</v>
      </c>
      <c r="D53" s="110">
        <f>2 * Solver!$R$22 + 6 *A53 * Solver!$R$23</f>
        <v>-0.71888658845180675</v>
      </c>
      <c r="E53" s="110">
        <f>(2 * Solver!$R$22 + 6 *A53 * Solver!$R$23)*constants!$B$12</f>
        <v>-0.15625000000000019</v>
      </c>
      <c r="F53" s="110">
        <f xml:space="preserve"> 6 *  Solver!$R$23 * constants!$B$12</f>
        <v>3.4374999999999996</v>
      </c>
      <c r="G53" s="111">
        <f>IF(A53=Main!$E$6,F54-F53,IF(A53=Main!$G$6,F54-F53,IF(A53=Main!$C$6,F53,IF(A53=Main!$I$6,-F53,0))))</f>
        <v>0</v>
      </c>
    </row>
    <row r="54" spans="1:7" s="87" customFormat="1">
      <c r="A54" s="109">
        <f>51*(A103-A3)/100</f>
        <v>0.51</v>
      </c>
      <c r="B54" s="110">
        <f>Solver!$R$20 + A54 * Solver!$R$21 + A54 ^ 2 * Solver!$R$22+Data!A54 ^ 3 * Solver!$R$23</f>
        <v>-0.77223731884057978</v>
      </c>
      <c r="C54" s="110">
        <f>Solver!$R$21+2*A54*Solver!$R$22+3*A54^2*Solver!$R$23</f>
        <v>-2.3427795031055902</v>
      </c>
      <c r="D54" s="110">
        <f>2 * Solver!$R$22 + 6 *A54 * Solver!$R$23</f>
        <v>-0.56073153899240857</v>
      </c>
      <c r="E54" s="110">
        <f>(2 * Solver!$R$22 + 6 *A54 * Solver!$R$23)*constants!$B$12</f>
        <v>-0.121875</v>
      </c>
      <c r="F54" s="110">
        <f xml:space="preserve"> 6 *  Solver!$R$23 * constants!$B$12</f>
        <v>3.4374999999999996</v>
      </c>
      <c r="G54" s="111">
        <f>IF(A54=Main!$E$6,F55-F54,IF(A54=Main!$G$6,F55-F54,IF(A54=Main!$C$6,F54,IF(A54=Main!$I$6,-F54,0))))</f>
        <v>0</v>
      </c>
    </row>
    <row r="55" spans="1:7" s="87" customFormat="1">
      <c r="A55" s="109">
        <f>52*(A103-A3)/100</f>
        <v>0.52</v>
      </c>
      <c r="B55" s="110">
        <f>Solver!$R$20 + A55 * Solver!$R$21 + A55 ^ 2 * Solver!$R$22+Data!A55 ^ 3 * Solver!$R$23</f>
        <v>-0.79569051453109441</v>
      </c>
      <c r="C55" s="110">
        <f>Solver!$R$21+2*A55*Solver!$R$22+3*A55^2*Solver!$R$23</f>
        <v>-2.3475960432482172</v>
      </c>
      <c r="D55" s="110">
        <f>2 * Solver!$R$22 + 6 *A55 * Solver!$R$23</f>
        <v>-0.40257648953301128</v>
      </c>
      <c r="E55" s="110">
        <f>(2 * Solver!$R$22 + 6 *A55 * Solver!$R$23)*constants!$B$12</f>
        <v>-8.7499999999999994E-2</v>
      </c>
      <c r="F55" s="110">
        <f xml:space="preserve"> 6 *  Solver!$R$23 * constants!$B$12</f>
        <v>3.4374999999999996</v>
      </c>
      <c r="G55" s="111">
        <f>IF(A55=Main!$E$6,F56-F55,IF(A55=Main!$G$6,F56-F55,IF(A55=Main!$C$6,F55,IF(A55=Main!$I$6,-F55,0))))</f>
        <v>0</v>
      </c>
    </row>
    <row r="56" spans="1:7" s="87" customFormat="1">
      <c r="A56" s="109">
        <f>53*(A103-A3)/100</f>
        <v>0.53</v>
      </c>
      <c r="B56" s="110">
        <f>Solver!$R$20 + A56 * Solver!$R$21 + A56 ^ 2 * Solver!$R$22+Data!A56 ^ 3 * Solver!$R$23</f>
        <v>-0.81918396787056214</v>
      </c>
      <c r="C56" s="110">
        <f>Solver!$R$21+2*A56*Solver!$R$22+3*A56^2*Solver!$R$23</f>
        <v>-2.3508310328962505</v>
      </c>
      <c r="D56" s="110">
        <f>2 * Solver!$R$22 + 6 *A56 * Solver!$R$23</f>
        <v>-0.24442144007361399</v>
      </c>
      <c r="E56" s="110">
        <f>(2 * Solver!$R$22 + 6 *A56 * Solver!$R$23)*constants!$B$12</f>
        <v>-5.3124999999999999E-2</v>
      </c>
      <c r="F56" s="110">
        <f xml:space="preserve"> 6 *  Solver!$R$23 * constants!$B$12</f>
        <v>3.4374999999999996</v>
      </c>
      <c r="G56" s="111">
        <f>IF(A56=Main!$E$6,F57-F56,IF(A56=Main!$G$6,F57-F56,IF(A56=Main!$C$6,F56,IF(A56=Main!$I$6,-F56,0))))</f>
        <v>0</v>
      </c>
    </row>
    <row r="57" spans="1:7" s="87" customFormat="1">
      <c r="A57" s="109">
        <f>54*(A103-A3)/100</f>
        <v>0.54</v>
      </c>
      <c r="B57" s="110">
        <f>Solver!$R$20 + A57 * Solver!$R$21 + A57 ^ 2 * Solver!$R$22+Data!A57 ^ 3 * Solver!$R$23</f>
        <v>-0.84270186335403729</v>
      </c>
      <c r="C57" s="110">
        <f>Solver!$R$21+2*A57*Solver!$R$22+3*A57^2*Solver!$R$23</f>
        <v>-2.3524844720496896</v>
      </c>
      <c r="D57" s="110">
        <f>2 * Solver!$R$22 + 6 *A57 * Solver!$R$23</f>
        <v>-8.6266390614216704E-2</v>
      </c>
      <c r="E57" s="110">
        <f>(2 * Solver!$R$22 + 6 *A57 * Solver!$R$23)*constants!$B$12</f>
        <v>-1.8749999999999999E-2</v>
      </c>
      <c r="F57" s="110">
        <f xml:space="preserve"> 6 *  Solver!$R$23 * constants!$B$12</f>
        <v>3.4374999999999996</v>
      </c>
      <c r="G57" s="111">
        <f>IF(A57=Main!$E$6,F58-F57,IF(A57=Main!$G$6,F58-F57,IF(A57=Main!$C$6,F57,IF(A57=Main!$I$6,-F57,0))))</f>
        <v>0</v>
      </c>
    </row>
    <row r="58" spans="1:7">
      <c r="A58" s="109">
        <f>11*(A103-A3)/20</f>
        <v>0.55000000000000004</v>
      </c>
      <c r="B58" s="110">
        <f>Solver!$R$20 + A58 * Solver!$R$21 + A58 ^ 2 * Solver!$R$22+Data!A58 ^ 3 * Solver!$R$23</f>
        <v>-0.86622838547657399</v>
      </c>
      <c r="C58" s="110">
        <f>Solver!$R$21+2*A58*Solver!$R$22+3*A58^2*Solver!$R$23</f>
        <v>-2.3525563607085345</v>
      </c>
      <c r="D58" s="110">
        <f>2 * Solver!$R$22 + 6 *A58 * Solver!$R$23</f>
        <v>7.1888658845180586E-2</v>
      </c>
      <c r="E58" s="110">
        <f>(2 * Solver!$R$22 + 6 *A58 * Solver!$R$23)*constants!$B$12</f>
        <v>1.5625E-2</v>
      </c>
      <c r="F58" s="110">
        <f xml:space="preserve"> 6 *  Solver!$R$23 * constants!$B$12</f>
        <v>3.4374999999999996</v>
      </c>
      <c r="G58" s="111">
        <f>IF(A58=Main!$E$6,F59-F58,IF(A58=Main!$G$6,F59-F58,IF(A58=Main!$C$6,F58,IF(A58=Main!$I$6,-F58,0))))</f>
        <v>0</v>
      </c>
    </row>
    <row r="59" spans="1:7" s="87" customFormat="1">
      <c r="A59" s="109">
        <f>56*(A103-A3)/100</f>
        <v>0.56000000000000005</v>
      </c>
      <c r="B59" s="110">
        <f>Solver!$R$20 + A59 * Solver!$R$21 + A59 ^ 2 * Solver!$R$22+Data!A59 ^ 3 * Solver!$R$23</f>
        <v>-0.88974771873322611</v>
      </c>
      <c r="C59" s="110">
        <f>Solver!$R$21+2*A59*Solver!$R$22+3*A59^2*Solver!$R$23</f>
        <v>-2.3510466988727869</v>
      </c>
      <c r="D59" s="110">
        <f>2 * Solver!$R$22 + 6 *A59 * Solver!$R$23</f>
        <v>0.23004370830457788</v>
      </c>
      <c r="E59" s="110">
        <f>(2 * Solver!$R$22 + 6 *A59 * Solver!$R$23)*constants!$B$12</f>
        <v>4.9999999999999996E-2</v>
      </c>
      <c r="F59" s="110">
        <f xml:space="preserve"> 6 *  Solver!$R$23 * constants!$B$12</f>
        <v>3.4374999999999996</v>
      </c>
      <c r="G59" s="111">
        <f>IF(A59=Main!$E$6,F60-F59,IF(A59=Main!$G$6,F60-F59,IF(A59=Main!$C$6,F59,IF(A59=Main!$I$6,-F59,0))))</f>
        <v>0</v>
      </c>
    </row>
    <row r="60" spans="1:7" s="87" customFormat="1">
      <c r="A60" s="109">
        <f>57*(A103-A3)/100</f>
        <v>0.56999999999999995</v>
      </c>
      <c r="B60" s="110">
        <f>Solver!$R$20 + A60 * Solver!$R$21 + A60 ^ 2 * Solver!$R$22+Data!A60 ^ 3 * Solver!$R$23</f>
        <v>-0.91324404761904754</v>
      </c>
      <c r="C60" s="110">
        <f>Solver!$R$21+2*A60*Solver!$R$22+3*A60^2*Solver!$R$23</f>
        <v>-2.3479554865424439</v>
      </c>
      <c r="D60" s="110">
        <f>2 * Solver!$R$22 + 6 *A60 * Solver!$R$23</f>
        <v>0.38819875776397339</v>
      </c>
      <c r="E60" s="110">
        <f>(2 * Solver!$R$22 + 6 *A60 * Solver!$R$23)*constants!$B$12</f>
        <v>8.4374999999999617E-2</v>
      </c>
      <c r="F60" s="110">
        <f xml:space="preserve"> 6 *  Solver!$R$23 * constants!$B$12</f>
        <v>3.4374999999999996</v>
      </c>
      <c r="G60" s="111">
        <f>IF(A60=Main!$E$6,F61-F60,IF(A60=Main!$G$6,F61-F60,IF(A60=Main!$C$6,F60,IF(A60=Main!$I$6,-F60,0))))</f>
        <v>0</v>
      </c>
    </row>
    <row r="61" spans="1:7" s="87" customFormat="1">
      <c r="A61" s="109">
        <f>58*(A103-A3)/100</f>
        <v>0.57999999999999996</v>
      </c>
      <c r="B61" s="110">
        <f>Solver!$R$20 + A61 * Solver!$R$21 + A61 ^ 2 * Solver!$R$22+Data!A61 ^ 3 * Solver!$R$23</f>
        <v>-0.93670155662909282</v>
      </c>
      <c r="C61" s="110">
        <f>Solver!$R$21+2*A61*Solver!$R$22+3*A61^2*Solver!$R$23</f>
        <v>-2.3432827237175071</v>
      </c>
      <c r="D61" s="110">
        <f>2 * Solver!$R$22 + 6 *A61 * Solver!$R$23</f>
        <v>0.54635380722337068</v>
      </c>
      <c r="E61" s="110">
        <f>(2 * Solver!$R$22 + 6 *A61 * Solver!$R$23)*constants!$B$12</f>
        <v>0.11874999999999961</v>
      </c>
      <c r="F61" s="110">
        <f xml:space="preserve"> 6 *  Solver!$R$23 * constants!$B$12</f>
        <v>3.4374999999999996</v>
      </c>
      <c r="G61" s="111">
        <f>IF(A61=Main!$E$6,F62-F61,IF(A61=Main!$G$6,F62-F61,IF(A61=Main!$C$6,F61,IF(A61=Main!$I$6,-F61,0))))</f>
        <v>0</v>
      </c>
    </row>
    <row r="62" spans="1:7" s="87" customFormat="1">
      <c r="A62" s="109">
        <f>59*(A103-A3)/100</f>
        <v>0.59</v>
      </c>
      <c r="B62" s="110">
        <f>Solver!$R$20 + A62 * Solver!$R$21 + A62 ^ 2 * Solver!$R$22+Data!A62 ^ 3 * Solver!$R$23</f>
        <v>-0.96010443025841574</v>
      </c>
      <c r="C62" s="110">
        <f>Solver!$R$21+2*A62*Solver!$R$22+3*A62^2*Solver!$R$23</f>
        <v>-2.3370284103979766</v>
      </c>
      <c r="D62" s="110">
        <f>2 * Solver!$R$22 + 6 *A62 * Solver!$R$23</f>
        <v>0.70450885668276797</v>
      </c>
      <c r="E62" s="110">
        <f>(2 * Solver!$R$22 + 6 *A62 * Solver!$R$23)*constants!$B$12</f>
        <v>0.15312499999999962</v>
      </c>
      <c r="F62" s="110">
        <f xml:space="preserve"> 6 *  Solver!$R$23 * constants!$B$12</f>
        <v>3.4374999999999996</v>
      </c>
      <c r="G62" s="111">
        <f>IF(A62=Main!$E$6,F63-F62,IF(A62=Main!$G$6,F63-F62,IF(A62=Main!$C$6,F62,IF(A62=Main!$I$6,-F62,0))))</f>
        <v>0</v>
      </c>
    </row>
    <row r="63" spans="1:7">
      <c r="A63" s="109">
        <f>12*(A103-A3)/20</f>
        <v>0.6</v>
      </c>
      <c r="B63" s="110">
        <f>Solver!$R$20 + A63 * Solver!$R$21 + A63 ^ 2 * Solver!$R$22+Data!A63 ^ 3 * Solver!$R$23</f>
        <v>-0.98343685300207051</v>
      </c>
      <c r="C63" s="110">
        <f>Solver!$R$21+2*A63*Solver!$R$22+3*A63^2*Solver!$R$23</f>
        <v>-2.329192546583851</v>
      </c>
      <c r="D63" s="110">
        <f>2 * Solver!$R$22 + 6 *A63 * Solver!$R$23</f>
        <v>0.86266390614216526</v>
      </c>
      <c r="E63" s="110">
        <f>(2 * Solver!$R$22 + 6 *A63 * Solver!$R$23)*constants!$B$12</f>
        <v>0.18749999999999961</v>
      </c>
      <c r="F63" s="110">
        <f xml:space="preserve"> 6 *  Solver!$R$23 * constants!$B$12</f>
        <v>3.4374999999999996</v>
      </c>
      <c r="G63" s="111">
        <f>IF(A63=Main!$E$6,F64-F63,IF(A63=Main!$G$6,F64-F63,IF(A63=Main!$C$6,F63,IF(A63=Main!$I$6,-F63,0))))</f>
        <v>0</v>
      </c>
    </row>
    <row r="64" spans="1:7" s="87" customFormat="1">
      <c r="A64" s="112">
        <f>61*(A103-A3)/100</f>
        <v>0.61</v>
      </c>
      <c r="B64" s="110">
        <f>Solver!$R$20 + A64 * Solver!$R$21 + A64 ^ 2 * Solver!$R$22+Data!A64 ^ 3 * Solver!$R$23</f>
        <v>-1.0066830093551109</v>
      </c>
      <c r="C64" s="110">
        <f>Solver!$R$21+2*A64*Solver!$R$22+3*A64^2*Solver!$R$23</f>
        <v>-2.319775132275133</v>
      </c>
      <c r="D64" s="110">
        <f>2 * Solver!$R$22 + 6 *A64 * Solver!$R$23</f>
        <v>1.0208189556015643</v>
      </c>
      <c r="E64" s="110">
        <f>(2 * Solver!$R$22 + 6 *A64 * Solver!$R$23)*constants!$B$12</f>
        <v>0.22187499999999999</v>
      </c>
      <c r="F64" s="110">
        <f xml:space="preserve"> 6 *  Solver!$R$23 * constants!$B$12</f>
        <v>3.4374999999999996</v>
      </c>
      <c r="G64" s="111">
        <f>IF(A64=Main!$E$6,F65-F64,IF(A64=Main!$G$6,F65-F64,IF(A64=Main!$C$6,F64,IF(A64=Main!$I$6,-F64,0))))</f>
        <v>0</v>
      </c>
    </row>
    <row r="65" spans="1:7" s="87" customFormat="1">
      <c r="A65" s="112">
        <f>62*(A103-A3)/100</f>
        <v>0.62</v>
      </c>
      <c r="B65" s="110">
        <f>Solver!$R$20 + A65 * Solver!$R$21 + A65 ^ 2 * Solver!$R$22+Data!A65 ^ 3 * Solver!$R$23</f>
        <v>-1.0298270838125911</v>
      </c>
      <c r="C65" s="110">
        <f>Solver!$R$21+2*A65*Solver!$R$22+3*A65^2*Solver!$R$23</f>
        <v>-2.3087761674718199</v>
      </c>
      <c r="D65" s="110">
        <f>2 * Solver!$R$22 + 6 *A65 * Solver!$R$23</f>
        <v>1.1789740050609598</v>
      </c>
      <c r="E65" s="110">
        <f>(2 * Solver!$R$22 + 6 *A65 * Solver!$R$23)*constants!$B$12</f>
        <v>0.25624999999999959</v>
      </c>
      <c r="F65" s="110">
        <f xml:space="preserve"> 6 *  Solver!$R$23 * constants!$B$12</f>
        <v>3.4374999999999996</v>
      </c>
      <c r="G65" s="111">
        <f>IF(A65=Main!$E$6,F66-F65,IF(A65=Main!$G$6,F66-F65,IF(A65=Main!$C$6,F65,IF(A65=Main!$I$6,-F65,0))))</f>
        <v>0</v>
      </c>
    </row>
    <row r="66" spans="1:7" s="87" customFormat="1">
      <c r="A66" s="112">
        <f>63*(A103-A3)/100</f>
        <v>0.63</v>
      </c>
      <c r="B66" s="110">
        <f>Solver!$R$20 + A66 * Solver!$R$21 + A66 ^ 2 * Solver!$R$22+Data!A66 ^ 3 * Solver!$R$23</f>
        <v>-1.0528532608695653</v>
      </c>
      <c r="C66" s="110">
        <f>Solver!$R$21+2*A66*Solver!$R$22+3*A66^2*Solver!$R$23</f>
        <v>-2.2961956521739131</v>
      </c>
      <c r="D66" s="110">
        <f>2 * Solver!$R$22 + 6 *A66 * Solver!$R$23</f>
        <v>1.3371290545203589</v>
      </c>
      <c r="E66" s="110">
        <f>(2 * Solver!$R$22 + 6 *A66 * Solver!$R$23)*constants!$B$12</f>
        <v>0.29062499999999997</v>
      </c>
      <c r="F66" s="110">
        <f xml:space="preserve"> 6 *  Solver!$R$23 * constants!$B$12</f>
        <v>3.4374999999999996</v>
      </c>
      <c r="G66" s="111">
        <f>IF(A66=Main!$E$6,F67-F66,IF(A66=Main!$G$6,F67-F66,IF(A66=Main!$C$6,F66,IF(A66=Main!$I$6,-F66,0))))</f>
        <v>0</v>
      </c>
    </row>
    <row r="67" spans="1:7" s="87" customFormat="1">
      <c r="A67" s="112">
        <f>64*(A103-A3)/100</f>
        <v>0.64</v>
      </c>
      <c r="B67" s="110">
        <f>Solver!$R$20 + A67 * Solver!$R$21 + A67 ^ 2 * Solver!$R$22+Data!A67 ^ 3 * Solver!$R$23</f>
        <v>-1.0757457250210876</v>
      </c>
      <c r="C67" s="110">
        <f>Solver!$R$21+2*A67*Solver!$R$22+3*A67^2*Solver!$R$23</f>
        <v>-2.2820335863814125</v>
      </c>
      <c r="D67" s="110">
        <f>2 * Solver!$R$22 + 6 *A67 * Solver!$R$23</f>
        <v>1.4952841039797544</v>
      </c>
      <c r="E67" s="110">
        <f>(2 * Solver!$R$22 + 6 *A67 * Solver!$R$23)*constants!$B$12</f>
        <v>0.32499999999999962</v>
      </c>
      <c r="F67" s="110">
        <f xml:space="preserve"> 6 *  Solver!$R$23 * constants!$B$12</f>
        <v>3.4374999999999996</v>
      </c>
      <c r="G67" s="111">
        <f>IF(A67=Main!$E$6,F68-F67,IF(A67=Main!$G$6,F68-F67,IF(A67=Main!$C$6,F67,IF(A67=Main!$I$6,-F67,0))))</f>
        <v>0</v>
      </c>
    </row>
    <row r="68" spans="1:7">
      <c r="A68" s="109">
        <f>13*(A103-A3)/20</f>
        <v>0.65</v>
      </c>
      <c r="B68" s="110">
        <f>Solver!$R$20 + A68 * Solver!$R$21 + A68 ^ 2 * Solver!$R$22+Data!A68 ^ 3 * Solver!$R$23</f>
        <v>-1.0984886607622117</v>
      </c>
      <c r="C68" s="110">
        <f>Solver!$R$21+2*A68*Solver!$R$22+3*A68^2*Solver!$R$23</f>
        <v>-2.2662899700943182</v>
      </c>
      <c r="D68" s="110">
        <f>2 * Solver!$R$22 + 6 *A68 * Solver!$R$23</f>
        <v>1.6534391534391535</v>
      </c>
      <c r="E68" s="110">
        <f>(2 * Solver!$R$22 + 6 *A68 * Solver!$R$23)*constants!$B$12</f>
        <v>0.359375</v>
      </c>
      <c r="F68" s="110">
        <f xml:space="preserve"> 6 *  Solver!$R$23 * constants!$B$12</f>
        <v>3.4374999999999996</v>
      </c>
      <c r="G68" s="111">
        <f>IF(A68=Main!$E$6,F69-F68,IF(A68=Main!$G$6,F69-F68,IF(A68=Main!$C$6,F68,IF(A68=Main!$I$6,-F68,0))))</f>
        <v>0</v>
      </c>
    </row>
    <row r="69" spans="1:7" s="87" customFormat="1">
      <c r="A69" s="112">
        <f>66*(A103-A3)/100</f>
        <v>0.66</v>
      </c>
      <c r="B69" s="110">
        <f>Solver!$R$20 + A69 * Solver!$R$21 + A69 ^ 2 * Solver!$R$22+Data!A69 ^ 3 * Solver!$R$23</f>
        <v>-1.1210662525879918</v>
      </c>
      <c r="C69" s="110">
        <f>Solver!$R$21+2*A69*Solver!$R$22+3*A69^2*Solver!$R$23</f>
        <v>-2.2489648033126293</v>
      </c>
      <c r="D69" s="110">
        <f>2 * Solver!$R$22 + 6 *A69 * Solver!$R$23</f>
        <v>1.811594202898549</v>
      </c>
      <c r="E69" s="110">
        <f>(2 * Solver!$R$22 + 6 *A69 * Solver!$R$23)*constants!$B$12</f>
        <v>0.3937499999999996</v>
      </c>
      <c r="F69" s="110">
        <f xml:space="preserve"> 6 *  Solver!$R$23 * constants!$B$12</f>
        <v>3.4374999999999996</v>
      </c>
      <c r="G69" s="111">
        <f>IF(A69=Main!$E$6,F70-F69,IF(A69=Main!$G$6,F70-F69,IF(A69=Main!$C$6,F69,IF(A69=Main!$I$6,-F69,0))))</f>
        <v>0</v>
      </c>
    </row>
    <row r="70" spans="1:7" s="87" customFormat="1">
      <c r="A70" s="112">
        <f>67*(A103-A3)/100</f>
        <v>0.67</v>
      </c>
      <c r="B70" s="110">
        <f>Solver!$R$20 + A70 * Solver!$R$21 + A70 ^ 2 * Solver!$R$22+Data!A70 ^ 3 * Solver!$R$23</f>
        <v>-1.1434626849934824</v>
      </c>
      <c r="C70" s="110">
        <f>Solver!$R$21+2*A70*Solver!$R$22+3*A70^2*Solver!$R$23</f>
        <v>-2.2300580860363466</v>
      </c>
      <c r="D70" s="110">
        <f>2 * Solver!$R$22 + 6 *A70 * Solver!$R$23</f>
        <v>1.9697492523579481</v>
      </c>
      <c r="E70" s="110">
        <f>(2 * Solver!$R$22 + 6 *A70 * Solver!$R$23)*constants!$B$12</f>
        <v>0.42812499999999998</v>
      </c>
      <c r="F70" s="110">
        <f xml:space="preserve"> 6 *  Solver!$R$23 * constants!$B$12</f>
        <v>3.4374999999999996</v>
      </c>
      <c r="G70" s="111">
        <f>IF(A70=Main!$E$6,F71-F70,IF(A70=Main!$G$6,F71-F70,IF(A70=Main!$C$6,F70,IF(A70=Main!$I$6,-F70,0))))</f>
        <v>0</v>
      </c>
    </row>
    <row r="71" spans="1:7" s="87" customFormat="1">
      <c r="A71" s="112">
        <f>68*(A103-A3)/100</f>
        <v>0.68</v>
      </c>
      <c r="B71" s="110">
        <f>Solver!$R$20 + A71 * Solver!$R$21 + A71 ^ 2 * Solver!$R$22+Data!A71 ^ 3 * Solver!$R$23</f>
        <v>-1.165662142473737</v>
      </c>
      <c r="C71" s="110">
        <f>Solver!$R$21+2*A71*Solver!$R$22+3*A71^2*Solver!$R$23</f>
        <v>-2.2095698182654702</v>
      </c>
      <c r="D71" s="110">
        <f>2 * Solver!$R$22 + 6 *A71 * Solver!$R$23</f>
        <v>2.1279043018173436</v>
      </c>
      <c r="E71" s="110">
        <f>(2 * Solver!$R$22 + 6 *A71 * Solver!$R$23)*constants!$B$12</f>
        <v>0.46249999999999958</v>
      </c>
      <c r="F71" s="110">
        <f xml:space="preserve"> 6 *  Solver!$R$23 * constants!$B$12</f>
        <v>3.4374999999999996</v>
      </c>
      <c r="G71" s="111">
        <f>IF(A71=Main!$E$6,F72-F71,IF(A71=Main!$G$6,F72-F71,IF(A71=Main!$C$6,F71,IF(A71=Main!$I$6,-F71,0))))</f>
        <v>0</v>
      </c>
    </row>
    <row r="72" spans="1:7" s="87" customFormat="1">
      <c r="A72" s="112">
        <f>69*(A103-A3)/100</f>
        <v>0.69</v>
      </c>
      <c r="B72" s="110">
        <f>Solver!$R$20 + A72 * Solver!$R$21 + A72 ^ 2 * Solver!$R$22+Data!A72 ^ 3 * Solver!$R$23</f>
        <v>-1.1876488095238096</v>
      </c>
      <c r="C72" s="110">
        <f>Solver!$R$21+2*A72*Solver!$R$22+3*A72^2*Solver!$R$23</f>
        <v>-2.1875000000000004</v>
      </c>
      <c r="D72" s="110">
        <f>2 * Solver!$R$22 + 6 *A72 * Solver!$R$23</f>
        <v>2.2860593512767409</v>
      </c>
      <c r="E72" s="110">
        <f>(2 * Solver!$R$22 + 6 *A72 * Solver!$R$23)*constants!$B$12</f>
        <v>0.49687499999999962</v>
      </c>
      <c r="F72" s="110">
        <f xml:space="preserve"> 6 *  Solver!$R$23 * constants!$B$12</f>
        <v>3.4374999999999996</v>
      </c>
      <c r="G72" s="111">
        <f>IF(A72=Main!$E$6,F73-F72,IF(A72=Main!$G$6,F73-F72,IF(A72=Main!$C$6,F72,IF(A72=Main!$I$6,-F72,0))))</f>
        <v>0</v>
      </c>
    </row>
    <row r="73" spans="1:7">
      <c r="A73" s="109">
        <f>14*(A103-A3)/20</f>
        <v>0.7</v>
      </c>
      <c r="B73" s="110">
        <f>Solver!$R$20 + A73 * Solver!$R$21 + A73 ^ 2 * Solver!$R$22+Data!A73 ^ 3 * Solver!$R$23</f>
        <v>-1.2094068706387546</v>
      </c>
      <c r="C73" s="110">
        <f>Solver!$R$21+2*A73*Solver!$R$22+3*A73^2*Solver!$R$23</f>
        <v>-2.1638486312399365</v>
      </c>
      <c r="D73" s="110">
        <f>2 * Solver!$R$22 + 6 *A73 * Solver!$R$23</f>
        <v>2.4442144007361364</v>
      </c>
      <c r="E73" s="110">
        <f>(2 * Solver!$R$22 + 6 *A73 * Solver!$R$23)*constants!$B$12</f>
        <v>0.53124999999999922</v>
      </c>
      <c r="F73" s="110">
        <f xml:space="preserve"> 6 *  Solver!$R$23 * constants!$B$12</f>
        <v>3.4374999999999996</v>
      </c>
      <c r="G73" s="111">
        <f>IF(A73=Main!$E$6,F74-F73,IF(A73=Main!$G$6,F74-F73,IF(A73=Main!$C$6,F73,IF(A73=Main!$I$6,-F73,0))))</f>
        <v>0</v>
      </c>
    </row>
    <row r="74" spans="1:7" s="87" customFormat="1">
      <c r="A74" s="109">
        <f>71*(A103-A3)/100</f>
        <v>0.71</v>
      </c>
      <c r="B74" s="110">
        <f>Solver!$R$20 + A74 * Solver!$R$21 + A74 ^ 2 * Solver!$R$22+Data!A74 ^ 3 * Solver!$R$23</f>
        <v>-1.2309205103136263</v>
      </c>
      <c r="C74" s="110">
        <f>Solver!$R$21+2*A74*Solver!$R$22+3*A74^2*Solver!$R$23</f>
        <v>-2.1386157119852776</v>
      </c>
      <c r="D74" s="110">
        <f>2 * Solver!$R$22 + 6 *A74 * Solver!$R$23</f>
        <v>2.6023694501955354</v>
      </c>
      <c r="E74" s="110">
        <f>(2 * Solver!$R$22 + 6 *A74 * Solver!$R$23)*constants!$B$12</f>
        <v>0.5656249999999996</v>
      </c>
      <c r="F74" s="110">
        <f xml:space="preserve"> 6 *  Solver!$R$23 * constants!$B$12</f>
        <v>3.4374999999999996</v>
      </c>
      <c r="G74" s="111">
        <f>IF(A74=Main!$E$6,F75-F74,IF(A74=Main!$G$6,F75-F74,IF(A74=Main!$C$6,F74,IF(A74=Main!$I$6,-F74,0))))</f>
        <v>0</v>
      </c>
    </row>
    <row r="75" spans="1:7" s="87" customFormat="1">
      <c r="A75" s="109">
        <f>72*(A103-A3)/100</f>
        <v>0.72</v>
      </c>
      <c r="B75" s="110">
        <f>Solver!$R$20 + A75 * Solver!$R$21 + A75 ^ 2 * Solver!$R$22+Data!A75 ^ 3 * Solver!$R$23</f>
        <v>-1.2521739130434781</v>
      </c>
      <c r="C75" s="110">
        <f>Solver!$R$21+2*A75*Solver!$R$22+3*A75^2*Solver!$R$23</f>
        <v>-2.1118012422360257</v>
      </c>
      <c r="D75" s="110">
        <f>2 * Solver!$R$22 + 6 *A75 * Solver!$R$23</f>
        <v>2.7605244996549345</v>
      </c>
      <c r="E75" s="110">
        <f>(2 * Solver!$R$22 + 6 *A75 * Solver!$R$23)*constants!$B$12</f>
        <v>0.6</v>
      </c>
      <c r="F75" s="110">
        <f xml:space="preserve"> 6 *  Solver!$R$23 * constants!$B$12</f>
        <v>3.4374999999999996</v>
      </c>
      <c r="G75" s="111">
        <f>IF(A75=Main!$E$6,F76-F75,IF(A75=Main!$G$6,F76-F75,IF(A75=Main!$C$6,F75,IF(A75=Main!$I$6,-F75,0))))</f>
        <v>0</v>
      </c>
    </row>
    <row r="76" spans="1:7" s="87" customFormat="1">
      <c r="A76" s="109">
        <f>73*(A103-A3)/100</f>
        <v>0.73</v>
      </c>
      <c r="B76" s="110">
        <f>Solver!$R$20 + A76 * Solver!$R$21 + A76 ^ 2 * Solver!$R$22+Data!A76 ^ 3 * Solver!$R$23</f>
        <v>-1.2731512633233646</v>
      </c>
      <c r="C76" s="110">
        <f>Solver!$R$21+2*A76*Solver!$R$22+3*A76^2*Solver!$R$23</f>
        <v>-2.0834052219921793</v>
      </c>
      <c r="D76" s="110">
        <f>2 * Solver!$R$22 + 6 *A76 * Solver!$R$23</f>
        <v>2.91867954911433</v>
      </c>
      <c r="E76" s="110">
        <f>(2 * Solver!$R$22 + 6 *A76 * Solver!$R$23)*constants!$B$12</f>
        <v>0.63437499999999958</v>
      </c>
      <c r="F76" s="110">
        <f xml:space="preserve"> 6 *  Solver!$R$23 * constants!$B$12</f>
        <v>3.4374999999999996</v>
      </c>
      <c r="G76" s="111">
        <f>IF(A76=Main!$E$6,F77-F76,IF(A76=Main!$G$6,F77-F76,IF(A76=Main!$C$6,F76,IF(A76=Main!$I$6,-F76,0))))</f>
        <v>0</v>
      </c>
    </row>
    <row r="77" spans="1:7" s="87" customFormat="1">
      <c r="A77" s="109">
        <f>74*(A103-A3)/100</f>
        <v>0.74</v>
      </c>
      <c r="B77" s="110">
        <f>Solver!$R$20 + A77 * Solver!$R$21 + A77 ^ 2 * Solver!$R$22+Data!A77 ^ 3 * Solver!$R$23</f>
        <v>-1.2938367456483402</v>
      </c>
      <c r="C77" s="110">
        <f>Solver!$R$21+2*A77*Solver!$R$22+3*A77^2*Solver!$R$23</f>
        <v>-2.0534276512537391</v>
      </c>
      <c r="D77" s="110">
        <f>2 * Solver!$R$22 + 6 *A77 * Solver!$R$23</f>
        <v>3.0768345985737273</v>
      </c>
      <c r="E77" s="110">
        <f>(2 * Solver!$R$22 + 6 *A77 * Solver!$R$23)*constants!$B$12</f>
        <v>0.66874999999999962</v>
      </c>
      <c r="F77" s="110">
        <f xml:space="preserve"> 6 *  Solver!$R$23 * constants!$B$12</f>
        <v>3.4374999999999996</v>
      </c>
      <c r="G77" s="111">
        <f>IF(A77=Main!$E$6,F78-F77,IF(A77=Main!$G$6,F78-F77,IF(A77=Main!$C$6,F77,IF(A77=Main!$I$6,-F77,0))))</f>
        <v>0</v>
      </c>
    </row>
    <row r="78" spans="1:7">
      <c r="A78" s="109">
        <f>15*(A103-A3)/20</f>
        <v>0.75</v>
      </c>
      <c r="B78" s="110">
        <f>Solver!$R$20 + A78 * Solver!$R$21 + A78 ^ 2 * Solver!$R$22+Data!A78 ^ 3 * Solver!$R$23</f>
        <v>-1.3142145445134576</v>
      </c>
      <c r="C78" s="110">
        <f>Solver!$R$21+2*A78*Solver!$R$22+3*A78^2*Solver!$R$23</f>
        <v>-2.0218685300207042</v>
      </c>
      <c r="D78" s="110">
        <f>2 * Solver!$R$22 + 6 *A78 * Solver!$R$23</f>
        <v>3.2349896480331246</v>
      </c>
      <c r="E78" s="110">
        <f>(2 * Solver!$R$22 + 6 *A78 * Solver!$R$23)*constants!$B$12</f>
        <v>0.70312499999999956</v>
      </c>
      <c r="F78" s="110">
        <f xml:space="preserve"> 6 *  Solver!$R$23 * constants!$B$12</f>
        <v>3.4374999999999996</v>
      </c>
      <c r="G78" s="111">
        <f>IF(A78=Main!$E$6,F79-F78,IF(A78=Main!$G$6,F79-F78,IF(A78=Main!$C$6,F78,IF(A78=Main!$I$6,-F78,0))))</f>
        <v>0</v>
      </c>
    </row>
    <row r="79" spans="1:7" s="87" customFormat="1">
      <c r="A79" s="109">
        <f>76*(A103-A3)/100</f>
        <v>0.76</v>
      </c>
      <c r="B79" s="110">
        <f>Solver!$R$20 + A79 * Solver!$R$21 + A79 ^ 2 * Solver!$R$22+Data!A79 ^ 3 * Solver!$R$23</f>
        <v>-1.334268844413772</v>
      </c>
      <c r="C79" s="110">
        <f>Solver!$R$21+2*A79*Solver!$R$22+3*A79^2*Solver!$R$23</f>
        <v>-1.9887278582930756</v>
      </c>
      <c r="D79" s="110">
        <f>2 * Solver!$R$22 + 6 *A79 * Solver!$R$23</f>
        <v>3.3931446974925237</v>
      </c>
      <c r="E79" s="110">
        <f>(2 * Solver!$R$22 + 6 *A79 * Solver!$R$23)*constants!$B$12</f>
        <v>0.73749999999999993</v>
      </c>
      <c r="F79" s="110">
        <f xml:space="preserve"> 6 *  Solver!$R$23 * constants!$B$12</f>
        <v>3.4374999999999996</v>
      </c>
      <c r="G79" s="111">
        <f>IF(A79=Main!$E$6,F80-F79,IF(A79=Main!$G$6,F80-F79,IF(A79=Main!$C$6,F79,IF(A79=Main!$I$6,-F79,0))))</f>
        <v>0</v>
      </c>
    </row>
    <row r="80" spans="1:7" s="87" customFormat="1">
      <c r="A80" s="109">
        <f>77*(A103-A3)/100</f>
        <v>0.77</v>
      </c>
      <c r="B80" s="110">
        <f>Solver!$R$20 + A80 * Solver!$R$21 + A80 ^ 2 * Solver!$R$22+Data!A80 ^ 3 * Solver!$R$23</f>
        <v>-1.3539838298443372</v>
      </c>
      <c r="C80" s="110">
        <f>Solver!$R$21+2*A80*Solver!$R$22+3*A80^2*Solver!$R$23</f>
        <v>-1.9540056360708542</v>
      </c>
      <c r="D80" s="110">
        <f>2 * Solver!$R$22 + 6 *A80 * Solver!$R$23</f>
        <v>3.5512997469519192</v>
      </c>
      <c r="E80" s="110">
        <f>(2 * Solver!$R$22 + 6 *A80 * Solver!$R$23)*constants!$B$12</f>
        <v>0.77187499999999964</v>
      </c>
      <c r="F80" s="110">
        <f xml:space="preserve"> 6 *  Solver!$R$23 * constants!$B$12</f>
        <v>3.4374999999999996</v>
      </c>
      <c r="G80" s="111">
        <f>IF(A80=Main!$E$6,F81-F80,IF(A80=Main!$G$6,F81-F80,IF(A80=Main!$C$6,F80,IF(A80=Main!$I$6,-F80,0))))</f>
        <v>0</v>
      </c>
    </row>
    <row r="81" spans="1:7" s="87" customFormat="1">
      <c r="A81" s="109">
        <f>78*(A103-A3)/100</f>
        <v>0.78</v>
      </c>
      <c r="B81" s="110">
        <f>Solver!$R$20 + A81 * Solver!$R$21 + A81 ^ 2 * Solver!$R$22+Data!A81 ^ 3 * Solver!$R$23</f>
        <v>-1.3733436853002072</v>
      </c>
      <c r="C81" s="110">
        <f>Solver!$R$21+2*A81*Solver!$R$22+3*A81^2*Solver!$R$23</f>
        <v>-1.9177018633540373</v>
      </c>
      <c r="D81" s="110">
        <f>2 * Solver!$R$22 + 6 *A81 * Solver!$R$23</f>
        <v>3.7094547964113165</v>
      </c>
      <c r="E81" s="110">
        <f>(2 * Solver!$R$22 + 6 *A81 * Solver!$R$23)*constants!$B$12</f>
        <v>0.80624999999999958</v>
      </c>
      <c r="F81" s="110">
        <f xml:space="preserve"> 6 *  Solver!$R$23 * constants!$B$12</f>
        <v>3.4374999999999996</v>
      </c>
      <c r="G81" s="111">
        <f>IF(A81=Main!$E$6,F82-F81,IF(A81=Main!$G$6,F82-F81,IF(A81=Main!$C$6,F81,IF(A81=Main!$I$6,-F81,0))))</f>
        <v>0</v>
      </c>
    </row>
    <row r="82" spans="1:7" s="87" customFormat="1">
      <c r="A82" s="109">
        <f>79*(A103-A3)/100</f>
        <v>0.79</v>
      </c>
      <c r="B82" s="110">
        <f>Solver!$R$20 + A82 * Solver!$R$21 + A82 ^ 2 * Solver!$R$22+Data!A82 ^ 3 * Solver!$R$23</f>
        <v>-1.392332595276436</v>
      </c>
      <c r="C82" s="110">
        <f>Solver!$R$21+2*A82*Solver!$R$22+3*A82^2*Solver!$R$23</f>
        <v>-1.8798165401426266</v>
      </c>
      <c r="D82" s="110">
        <f>2 * Solver!$R$22 + 6 *A82 * Solver!$R$23</f>
        <v>3.8676098458707155</v>
      </c>
      <c r="E82" s="110">
        <f>(2 * Solver!$R$22 + 6 *A82 * Solver!$R$23)*constants!$B$12</f>
        <v>0.84062499999999996</v>
      </c>
      <c r="F82" s="110">
        <f xml:space="preserve"> 6 *  Solver!$R$23 * constants!$B$12</f>
        <v>3.4374999999999996</v>
      </c>
      <c r="G82" s="111">
        <f>IF(A82=Main!$E$6,F83-F82,IF(A82=Main!$G$6,F83-F82,IF(A82=Main!$C$6,F82,IF(A82=Main!$I$6,-F82,0))))</f>
        <v>0</v>
      </c>
    </row>
    <row r="83" spans="1:7">
      <c r="A83" s="109">
        <f>16*(A103-A3)/20</f>
        <v>0.8</v>
      </c>
      <c r="B83" s="110">
        <f>Solver!$R$20 + A83 * Solver!$R$21 + A83 ^ 2 * Solver!$R$22+Data!A83 ^ 3 * Solver!$R$23</f>
        <v>-1.410934744268078</v>
      </c>
      <c r="C83" s="110">
        <f>Solver!$R$21+2*A83*Solver!$R$22+3*A83^2*Solver!$R$23</f>
        <v>-1.840349666436623</v>
      </c>
      <c r="D83" s="110">
        <f>2 * Solver!$R$22 + 6 *A83 * Solver!$R$23</f>
        <v>4.0257648953301128</v>
      </c>
      <c r="E83" s="110">
        <f>(2 * Solver!$R$22 + 6 *A83 * Solver!$R$23)*constants!$B$12</f>
        <v>0.875</v>
      </c>
      <c r="F83" s="110">
        <f xml:space="preserve"> 6 *  Solver!$R$23 * constants!$B$12</f>
        <v>3.4374999999999996</v>
      </c>
      <c r="G83" s="111">
        <f>IF(A83=Main!$E$6,F84-F83,IF(A83=Main!$G$6,F84-F83,IF(A83=Main!$C$6,F83,IF(A83=Main!$I$6,-F83,0))))</f>
        <v>0</v>
      </c>
    </row>
    <row r="84" spans="1:7" s="87" customFormat="1">
      <c r="A84" s="109">
        <f>81*(A103-A3)/100</f>
        <v>0.81</v>
      </c>
      <c r="B84" s="110">
        <f>Solver!$R$20 + A84 * Solver!$R$21 + A84 ^ 2 * Solver!$R$22+Data!A84 ^ 3 * Solver!$R$23</f>
        <v>-1.4291343167701867</v>
      </c>
      <c r="C84" s="110">
        <f>Solver!$R$21+2*A84*Solver!$R$22+3*A84^2*Solver!$R$23</f>
        <v>-1.7993012422360257</v>
      </c>
      <c r="D84" s="110">
        <f>2 * Solver!$R$22 + 6 *A84 * Solver!$R$23</f>
        <v>4.1839199447895101</v>
      </c>
      <c r="E84" s="110">
        <f>(2 * Solver!$R$22 + 6 *A84 * Solver!$R$23)*constants!$B$12</f>
        <v>0.90937499999999993</v>
      </c>
      <c r="F84" s="110">
        <f xml:space="preserve"> 6 *  Solver!$R$23 * constants!$B$12</f>
        <v>3.4374999999999996</v>
      </c>
      <c r="G84" s="111">
        <f>IF(A84=Main!$E$6,F85-F84,IF(A84=Main!$G$6,F85-F84,IF(A84=Main!$C$6,F84,IF(A84=Main!$I$6,-F84,0))))</f>
        <v>0</v>
      </c>
    </row>
    <row r="85" spans="1:7" s="87" customFormat="1">
      <c r="A85" s="109">
        <f>82*(A103-A3)/100</f>
        <v>0.82</v>
      </c>
      <c r="B85" s="110">
        <f>Solver!$R$20 + A85 * Solver!$R$21 + A85 ^ 2 * Solver!$R$22+Data!A85 ^ 3 * Solver!$R$23</f>
        <v>-1.4469154972778162</v>
      </c>
      <c r="C85" s="110">
        <f>Solver!$R$21+2*A85*Solver!$R$22+3*A85^2*Solver!$R$23</f>
        <v>-1.7566712675408338</v>
      </c>
      <c r="D85" s="110">
        <f>2 * Solver!$R$22 + 6 *A85 * Solver!$R$23</f>
        <v>4.3420749942489056</v>
      </c>
      <c r="E85" s="110">
        <f>(2 * Solver!$R$22 + 6 *A85 * Solver!$R$23)*constants!$B$12</f>
        <v>0.94374999999999953</v>
      </c>
      <c r="F85" s="110">
        <f xml:space="preserve"> 6 *  Solver!$R$23 * constants!$B$12</f>
        <v>3.4374999999999996</v>
      </c>
      <c r="G85" s="111">
        <f>IF(A85=Main!$E$6,F86-F85,IF(A85=Main!$G$6,F86-F85,IF(A85=Main!$C$6,F85,IF(A85=Main!$I$6,-F85,0))))</f>
        <v>0</v>
      </c>
    </row>
    <row r="86" spans="1:7" s="87" customFormat="1">
      <c r="A86" s="109">
        <f>83*(A103-A3)/100</f>
        <v>0.83</v>
      </c>
      <c r="B86" s="110">
        <f>Solver!$R$20 + A86 * Solver!$R$21 + A86 ^ 2 * Solver!$R$22+Data!A86 ^ 3 * Solver!$R$23</f>
        <v>-1.4642624702860212</v>
      </c>
      <c r="C86" s="110">
        <f>Solver!$R$21+2*A86*Solver!$R$22+3*A86^2*Solver!$R$23</f>
        <v>-1.7124597423510473</v>
      </c>
      <c r="D86" s="110">
        <f>2 * Solver!$R$22 + 6 *A86 * Solver!$R$23</f>
        <v>4.5002300437083012</v>
      </c>
      <c r="E86" s="110">
        <f>(2 * Solver!$R$22 + 6 *A86 * Solver!$R$23)*constants!$B$12</f>
        <v>0.97812499999999925</v>
      </c>
      <c r="F86" s="110">
        <f xml:space="preserve"> 6 *  Solver!$R$23 * constants!$B$12</f>
        <v>3.4374999999999996</v>
      </c>
      <c r="G86" s="111">
        <f>IF(A86=Main!$E$6,F87-F86,IF(A86=Main!$G$6,F87-F86,IF(A86=Main!$C$6,F86,IF(A86=Main!$I$6,-F86,0))))</f>
        <v>0</v>
      </c>
    </row>
    <row r="87" spans="1:7" s="87" customFormat="1">
      <c r="A87" s="109">
        <f>84*(A103-A3)/100</f>
        <v>0.84</v>
      </c>
      <c r="B87" s="110">
        <f>Solver!$R$20 + A87 * Solver!$R$21 + A87 ^ 2 * Solver!$R$22+Data!A87 ^ 3 * Solver!$R$23</f>
        <v>-1.4811594202898553</v>
      </c>
      <c r="C87" s="110">
        <f>Solver!$R$21+2*A87*Solver!$R$22+3*A87^2*Solver!$R$23</f>
        <v>-1.6666666666666687</v>
      </c>
      <c r="D87" s="110">
        <f>2 * Solver!$R$22 + 6 *A87 * Solver!$R$23</f>
        <v>4.6583850931677002</v>
      </c>
      <c r="E87" s="110">
        <f>(2 * Solver!$R$22 + 6 *A87 * Solver!$R$23)*constants!$B$12</f>
        <v>1.0124999999999995</v>
      </c>
      <c r="F87" s="110">
        <f xml:space="preserve"> 6 *  Solver!$R$23 * constants!$B$12</f>
        <v>3.4374999999999996</v>
      </c>
      <c r="G87" s="111">
        <f>IF(A87=Main!$E$6,F88-F87,IF(A87=Main!$G$6,F88-F87,IF(A87=Main!$C$6,F87,IF(A87=Main!$I$6,-F87,0))))</f>
        <v>0</v>
      </c>
    </row>
    <row r="88" spans="1:7">
      <c r="A88" s="109">
        <f>17*(A103-A3)/20</f>
        <v>0.85</v>
      </c>
      <c r="B88" s="110">
        <f>Solver!$R$20 + A88 * Solver!$R$21 + A88 ^ 2 * Solver!$R$22+Data!A88 ^ 3 * Solver!$R$23</f>
        <v>-1.4975905317843723</v>
      </c>
      <c r="C88" s="110">
        <f>Solver!$R$21+2*A88*Solver!$R$22+3*A88^2*Solver!$R$23</f>
        <v>-1.6192920404876947</v>
      </c>
      <c r="D88" s="110">
        <f>2 * Solver!$R$22 + 6 *A88 * Solver!$R$23</f>
        <v>4.8165401426270975</v>
      </c>
      <c r="E88" s="110">
        <f>(2 * Solver!$R$22 + 6 *A88 * Solver!$R$23)*constants!$B$12</f>
        <v>1.0468749999999996</v>
      </c>
      <c r="F88" s="110">
        <f xml:space="preserve"> 6 *  Solver!$R$23 * constants!$B$12</f>
        <v>3.4374999999999996</v>
      </c>
      <c r="G88" s="111">
        <f>IF(A88=Main!$E$6,F89-F88,IF(A88=Main!$G$6,F89-F88,IF(A88=Main!$C$6,F88,IF(A88=Main!$I$6,-F88,0))))</f>
        <v>0</v>
      </c>
    </row>
    <row r="89" spans="1:7" s="87" customFormat="1">
      <c r="A89" s="109">
        <f>86*(A103-A3)/100</f>
        <v>0.86</v>
      </c>
      <c r="B89" s="110">
        <f>Solver!$R$20 + A89 * Solver!$R$21 + A89 ^ 2 * Solver!$R$22+Data!A89 ^ 3 * Solver!$R$23</f>
        <v>-1.5135399892646269</v>
      </c>
      <c r="C89" s="110">
        <f>Solver!$R$21+2*A89*Solver!$R$22+3*A89^2*Solver!$R$23</f>
        <v>-1.570335863814126</v>
      </c>
      <c r="D89" s="110">
        <f>2 * Solver!$R$22 + 6 *A89 * Solver!$R$23</f>
        <v>4.9746951920864948</v>
      </c>
      <c r="E89" s="110">
        <f>(2 * Solver!$R$22 + 6 *A89 * Solver!$R$23)*constants!$B$12</f>
        <v>1.0812499999999996</v>
      </c>
      <c r="F89" s="110">
        <f xml:space="preserve"> 6 *  Solver!$R$23 * constants!$B$12</f>
        <v>3.4374999999999996</v>
      </c>
      <c r="G89" s="111">
        <f>IF(A89=Main!$E$6,F90-F89,IF(A89=Main!$G$6,F90-F89,IF(A89=Main!$C$6,F89,IF(A89=Main!$I$6,-F89,0))))</f>
        <v>0</v>
      </c>
    </row>
    <row r="90" spans="1:7" s="87" customFormat="1">
      <c r="A90" s="109">
        <f>87*(A103-A3)/100</f>
        <v>0.87</v>
      </c>
      <c r="B90" s="110">
        <f>Solver!$R$20 + A90 * Solver!$R$21 + A90 ^ 2 * Solver!$R$22+Data!A90 ^ 3 * Solver!$R$23</f>
        <v>-1.5289919772256728</v>
      </c>
      <c r="C90" s="110">
        <f>Solver!$R$21+2*A90*Solver!$R$22+3*A90^2*Solver!$R$23</f>
        <v>-1.5197981366459627</v>
      </c>
      <c r="D90" s="110">
        <f>2 * Solver!$R$22 + 6 *A90 * Solver!$R$23</f>
        <v>5.1328502415458921</v>
      </c>
      <c r="E90" s="110">
        <f>(2 * Solver!$R$22 + 6 *A90 * Solver!$R$23)*constants!$B$12</f>
        <v>1.1156249999999996</v>
      </c>
      <c r="F90" s="110">
        <f xml:space="preserve"> 6 *  Solver!$R$23 * constants!$B$12</f>
        <v>3.4374999999999996</v>
      </c>
      <c r="G90" s="111">
        <f>IF(A90=Main!$E$6,F91-F90,IF(A90=Main!$G$6,F91-F90,IF(A90=Main!$C$6,F90,IF(A90=Main!$I$6,-F90,0))))</f>
        <v>0</v>
      </c>
    </row>
    <row r="91" spans="1:7" s="87" customFormat="1">
      <c r="A91" s="109">
        <f>88*(A103-A3)/100</f>
        <v>0.88</v>
      </c>
      <c r="B91" s="110">
        <f>Solver!$R$20 + A91 * Solver!$R$21 + A91 ^ 2 * Solver!$R$22+Data!A91 ^ 3 * Solver!$R$23</f>
        <v>-1.5439306801625645</v>
      </c>
      <c r="C91" s="110">
        <f>Solver!$R$21+2*A91*Solver!$R$22+3*A91^2*Solver!$R$23</f>
        <v>-1.4676788589832075</v>
      </c>
      <c r="D91" s="110">
        <f>2 * Solver!$R$22 + 6 *A91 * Solver!$R$23</f>
        <v>5.2910052910052894</v>
      </c>
      <c r="E91" s="110">
        <f>(2 * Solver!$R$22 + 6 *A91 * Solver!$R$23)*constants!$B$12</f>
        <v>1.1499999999999997</v>
      </c>
      <c r="F91" s="110">
        <f xml:space="preserve"> 6 *  Solver!$R$23 * constants!$B$12</f>
        <v>3.4374999999999996</v>
      </c>
      <c r="G91" s="111">
        <f>IF(A91=Main!$E$6,F92-F91,IF(A91=Main!$G$6,F92-F91,IF(A91=Main!$C$6,F91,IF(A91=Main!$I$6,-F91,0))))</f>
        <v>0</v>
      </c>
    </row>
    <row r="92" spans="1:7" s="87" customFormat="1">
      <c r="A92" s="109">
        <f>89*(A103-A3)/100</f>
        <v>0.89</v>
      </c>
      <c r="B92" s="110">
        <f>Solver!$R$20 + A92 * Solver!$R$21 + A92 ^ 2 * Solver!$R$22+Data!A92 ^ 3 * Solver!$R$23</f>
        <v>-1.558340282570355</v>
      </c>
      <c r="C92" s="110">
        <f>Solver!$R$21+2*A92*Solver!$R$22+3*A92^2*Solver!$R$23</f>
        <v>-1.4139780308258576</v>
      </c>
      <c r="D92" s="110">
        <f>2 * Solver!$R$22 + 6 *A92 * Solver!$R$23</f>
        <v>5.4491603404646867</v>
      </c>
      <c r="E92" s="110">
        <f>(2 * Solver!$R$22 + 6 *A92 * Solver!$R$23)*constants!$B$12</f>
        <v>1.1843749999999995</v>
      </c>
      <c r="F92" s="110">
        <f xml:space="preserve"> 6 *  Solver!$R$23 * constants!$B$12</f>
        <v>3.4374999999999996</v>
      </c>
      <c r="G92" s="111">
        <f>IF(A92=Main!$E$6,F93-F92,IF(A92=Main!$G$6,F93-F92,IF(A92=Main!$C$6,F92,IF(A92=Main!$I$6,-F92,0))))</f>
        <v>0</v>
      </c>
    </row>
    <row r="93" spans="1:7">
      <c r="A93" s="109">
        <f>18*(A103-A3)/20</f>
        <v>0.9</v>
      </c>
      <c r="B93" s="110">
        <f>Solver!$R$20 + A93 * Solver!$R$21 + A93 ^ 2 * Solver!$R$22+Data!A93 ^ 3 * Solver!$R$23</f>
        <v>-1.5722049689440998</v>
      </c>
      <c r="C93" s="110">
        <f>Solver!$R$21+2*A93*Solver!$R$22+3*A93^2*Solver!$R$23</f>
        <v>-1.3586956521739131</v>
      </c>
      <c r="D93" s="110">
        <f>2 * Solver!$R$22 + 6 *A93 * Solver!$R$23</f>
        <v>5.6073153899240857</v>
      </c>
      <c r="E93" s="110">
        <f>(2 * Solver!$R$22 + 6 *A93 * Solver!$R$23)*constants!$B$12</f>
        <v>1.21875</v>
      </c>
      <c r="F93" s="110">
        <f xml:space="preserve"> 6 *  Solver!$R$23 * constants!$B$12</f>
        <v>3.4374999999999996</v>
      </c>
      <c r="G93" s="111">
        <f>IF(A93=Main!$E$6,F94-F93,IF(A93=Main!$G$6,F94-F93,IF(A93=Main!$C$6,F93,IF(A93=Main!$I$6,-F93,0))))</f>
        <v>0</v>
      </c>
    </row>
    <row r="94" spans="1:7" s="87" customFormat="1">
      <c r="A94" s="109">
        <f>91*(A103-A3)/100</f>
        <v>0.91</v>
      </c>
      <c r="B94" s="110">
        <f>Solver!$R$20 + A94 * Solver!$R$21 + A94 ^ 2 * Solver!$R$22+Data!A94 ^ 3 * Solver!$R$23</f>
        <v>-1.5855089237788513</v>
      </c>
      <c r="C94" s="110">
        <f>Solver!$R$21+2*A94*Solver!$R$22+3*A94^2*Solver!$R$23</f>
        <v>-1.3018317230273757</v>
      </c>
      <c r="D94" s="110">
        <f>2 * Solver!$R$22 + 6 *A94 * Solver!$R$23</f>
        <v>5.7654704393834812</v>
      </c>
      <c r="E94" s="110">
        <f>(2 * Solver!$R$22 + 6 *A94 * Solver!$R$23)*constants!$B$12</f>
        <v>1.2531249999999996</v>
      </c>
      <c r="F94" s="110">
        <f xml:space="preserve"> 6 *  Solver!$R$23 * constants!$B$12</f>
        <v>3.4374999999999996</v>
      </c>
      <c r="G94" s="111">
        <f>IF(A94=Main!$E$6,F95-F94,IF(A94=Main!$G$6,F95-F94,IF(A94=Main!$C$6,F94,IF(A94=Main!$I$6,-F94,0))))</f>
        <v>0</v>
      </c>
    </row>
    <row r="95" spans="1:7" s="87" customFormat="1">
      <c r="A95" s="109">
        <f>92*(A103-A3)/100</f>
        <v>0.92</v>
      </c>
      <c r="B95" s="110">
        <f>Solver!$R$20 + A95 * Solver!$R$21 + A95 ^ 2 * Solver!$R$22+Data!A95 ^ 3 * Solver!$R$23</f>
        <v>-1.5982363315696655</v>
      </c>
      <c r="C95" s="110">
        <f>Solver!$R$21+2*A95*Solver!$R$22+3*A95^2*Solver!$R$23</f>
        <v>-1.2433862433862437</v>
      </c>
      <c r="D95" s="110">
        <f>2 * Solver!$R$22 + 6 *A95 * Solver!$R$23</f>
        <v>5.9236254888428803</v>
      </c>
      <c r="E95" s="110">
        <f>(2 * Solver!$R$22 + 6 *A95 * Solver!$R$23)*constants!$B$12</f>
        <v>1.2874999999999999</v>
      </c>
      <c r="F95" s="110">
        <f xml:space="preserve"> 6 *  Solver!$R$23 * constants!$B$12</f>
        <v>3.4374999999999996</v>
      </c>
      <c r="G95" s="111">
        <f>IF(A95=Main!$E$6,F96-F95,IF(A95=Main!$G$6,F96-F95,IF(A95=Main!$C$6,F95,IF(A95=Main!$I$6,-F95,0))))</f>
        <v>0</v>
      </c>
    </row>
    <row r="96" spans="1:7" s="87" customFormat="1">
      <c r="A96" s="109">
        <f>93*(A103-A3)/100</f>
        <v>0.93</v>
      </c>
      <c r="B96" s="110">
        <f>Solver!$R$20 + A96 * Solver!$R$21 + A96 ^ 2 * Solver!$R$22+Data!A96 ^ 3 * Solver!$R$23</f>
        <v>-1.6103713768115946</v>
      </c>
      <c r="C96" s="110">
        <f>Solver!$R$21+2*A96*Solver!$R$22+3*A96^2*Solver!$R$23</f>
        <v>-1.1833592132505171</v>
      </c>
      <c r="D96" s="110">
        <f>2 * Solver!$R$22 + 6 *A96 * Solver!$R$23</f>
        <v>6.0817805383022758</v>
      </c>
      <c r="E96" s="110">
        <f>(2 * Solver!$R$22 + 6 *A96 * Solver!$R$23)*constants!$B$12</f>
        <v>1.3218749999999995</v>
      </c>
      <c r="F96" s="110">
        <f xml:space="preserve"> 6 *  Solver!$R$23 * constants!$B$12</f>
        <v>3.4374999999999996</v>
      </c>
      <c r="G96" s="111">
        <f>IF(A96=Main!$E$6,F97-F96,IF(A96=Main!$G$6,F97-F96,IF(A96=Main!$C$6,F96,IF(A96=Main!$I$6,-F96,0))))</f>
        <v>0</v>
      </c>
    </row>
    <row r="97" spans="1:7" s="87" customFormat="1">
      <c r="A97" s="109">
        <f>94*(A103-A3)/100</f>
        <v>0.94</v>
      </c>
      <c r="B97" s="110">
        <f>Solver!$R$20 + A97 * Solver!$R$21 + A97 ^ 2 * Solver!$R$22+Data!A97 ^ 3 * Solver!$R$23</f>
        <v>-1.6218982439996936</v>
      </c>
      <c r="C97" s="110">
        <f>Solver!$R$21+2*A97*Solver!$R$22+3*A97^2*Solver!$R$23</f>
        <v>-1.1217506326201994</v>
      </c>
      <c r="D97" s="110">
        <f>2 * Solver!$R$22 + 6 *A97 * Solver!$R$23</f>
        <v>6.2399355877616731</v>
      </c>
      <c r="E97" s="110">
        <f>(2 * Solver!$R$22 + 6 *A97 * Solver!$R$23)*constants!$B$12</f>
        <v>1.3562499999999995</v>
      </c>
      <c r="F97" s="110">
        <f xml:space="preserve"> 6 *  Solver!$R$23 * constants!$B$12</f>
        <v>3.4374999999999996</v>
      </c>
      <c r="G97" s="111">
        <f>IF(A97=Main!$E$6,F98-F97,IF(A97=Main!$G$6,F98-F97,IF(A97=Main!$C$6,F97,IF(A97=Main!$I$6,-F97,0))))</f>
        <v>0</v>
      </c>
    </row>
    <row r="98" spans="1:7">
      <c r="A98" s="109">
        <f>19*(A103-A3)/20</f>
        <v>0.95</v>
      </c>
      <c r="B98" s="110">
        <f>Solver!$R$20 + A98 * Solver!$R$21 + A98 ^ 2 * Solver!$R$22+Data!A98 ^ 3 * Solver!$R$23</f>
        <v>-1.6328011176290169</v>
      </c>
      <c r="C98" s="110">
        <f>Solver!$R$21+2*A98*Solver!$R$22+3*A98^2*Solver!$R$23</f>
        <v>-1.0585605014952852</v>
      </c>
      <c r="D98" s="110">
        <f>2 * Solver!$R$22 + 6 *A98 * Solver!$R$23</f>
        <v>6.3980906372210686</v>
      </c>
      <c r="E98" s="110">
        <f>(2 * Solver!$R$22 + 6 *A98 * Solver!$R$23)*constants!$B$12</f>
        <v>1.3906249999999991</v>
      </c>
      <c r="F98" s="110">
        <f xml:space="preserve"> 6 *  Solver!$R$23 * constants!$B$12</f>
        <v>3.4374999999999996</v>
      </c>
      <c r="G98" s="111">
        <f>IF(A98=Main!$E$6,F99-F98,IF(A98=Main!$G$6,F99-F98,IF(A98=Main!$C$6,F98,IF(A98=Main!$I$6,-F98,0))))</f>
        <v>0</v>
      </c>
    </row>
    <row r="99" spans="1:7" s="87" customFormat="1">
      <c r="A99" s="109">
        <f>96*(A103-A3)/100</f>
        <v>0.96</v>
      </c>
      <c r="B99" s="110">
        <f>Solver!$R$20 + A99 * Solver!$R$21 + A99 ^ 2 * Solver!$R$22+Data!A99 ^ 3 * Solver!$R$23</f>
        <v>-1.643064182194617</v>
      </c>
      <c r="C99" s="110">
        <f>Solver!$R$21+2*A99*Solver!$R$22+3*A99^2*Solver!$R$23</f>
        <v>-0.9937888198757765</v>
      </c>
      <c r="D99" s="110">
        <f>2 * Solver!$R$22 + 6 *A99 * Solver!$R$23</f>
        <v>6.5562456866804677</v>
      </c>
      <c r="E99" s="110">
        <f>(2 * Solver!$R$22 + 6 *A99 * Solver!$R$23)*constants!$B$12</f>
        <v>1.4249999999999996</v>
      </c>
      <c r="F99" s="110">
        <f xml:space="preserve"> 6 *  Solver!$R$23 * constants!$B$12</f>
        <v>3.4374999999999996</v>
      </c>
      <c r="G99" s="111">
        <f>IF(A99=Main!$E$6,F100-F99,IF(A99=Main!$G$6,F100-F99,IF(A99=Main!$C$6,F99,IF(A99=Main!$I$6,-F99,0))))</f>
        <v>0</v>
      </c>
    </row>
    <row r="100" spans="1:7" s="87" customFormat="1">
      <c r="A100" s="109">
        <f>97*(A103-A3)/100</f>
        <v>0.97</v>
      </c>
      <c r="B100" s="110">
        <f>Solver!$R$20 + A100 * Solver!$R$21 + A100 ^ 2 * Solver!$R$22+Data!A100 ^ 3 * Solver!$R$23</f>
        <v>-1.6526716221915505</v>
      </c>
      <c r="C100" s="110">
        <f>Solver!$R$21+2*A100*Solver!$R$22+3*A100^2*Solver!$R$23</f>
        <v>-0.92743558776167578</v>
      </c>
      <c r="D100" s="110">
        <f>2 * Solver!$R$22 + 6 *A100 * Solver!$R$23</f>
        <v>6.714400736139865</v>
      </c>
      <c r="E100" s="110">
        <f>(2 * Solver!$R$22 + 6 *A100 * Solver!$R$23)*constants!$B$12</f>
        <v>1.4593749999999996</v>
      </c>
      <c r="F100" s="110">
        <f xml:space="preserve"> 6 *  Solver!$R$23 * constants!$B$12</f>
        <v>3.4374999999999996</v>
      </c>
      <c r="G100" s="111">
        <f>IF(A100=Main!$E$6,F101-F100,IF(A100=Main!$G$6,F101-F100,IF(A100=Main!$C$6,F100,IF(A100=Main!$I$6,-F100,0))))</f>
        <v>0</v>
      </c>
    </row>
    <row r="101" spans="1:7" s="87" customFormat="1">
      <c r="A101" s="109">
        <f>98*(A103-A3)/100</f>
        <v>0.98</v>
      </c>
      <c r="B101" s="110">
        <f>Solver!$R$20 + A101 * Solver!$R$21 + A101 ^ 2 * Solver!$R$22+Data!A101 ^ 3 * Solver!$R$23</f>
        <v>-1.661607622114869</v>
      </c>
      <c r="C101" s="110">
        <f>Solver!$R$21+2*A101*Solver!$R$22+3*A101^2*Solver!$R$23</f>
        <v>-0.85950080515298044</v>
      </c>
      <c r="D101" s="110">
        <f>2 * Solver!$R$22 + 6 *A101 * Solver!$R$23</f>
        <v>6.8725557855992623</v>
      </c>
      <c r="E101" s="110">
        <f>(2 * Solver!$R$22 + 6 *A101 * Solver!$R$23)*constants!$B$12</f>
        <v>1.4937499999999995</v>
      </c>
      <c r="F101" s="110">
        <f xml:space="preserve"> 6 *  Solver!$R$23 * constants!$B$12</f>
        <v>3.4374999999999996</v>
      </c>
      <c r="G101" s="111">
        <f>IF(A101=Main!$E$6,F102-F101,IF(A101=Main!$G$6,F102-F101,IF(A101=Main!$C$6,F101,IF(A101=Main!$I$6,-F101,0))))</f>
        <v>0</v>
      </c>
    </row>
    <row r="102" spans="1:7" s="87" customFormat="1">
      <c r="A102" s="109">
        <f>99*(A103-A3)/100</f>
        <v>0.99</v>
      </c>
      <c r="B102" s="110">
        <f>Solver!$R$20 + A102 * Solver!$R$21 + A102 ^ 2 * Solver!$R$22+Data!A102 ^ 3 * Solver!$R$23</f>
        <v>-1.6698563664596278</v>
      </c>
      <c r="C102" s="110">
        <f>Solver!$R$21+2*A102*Solver!$R$22+3*A102^2*Solver!$R$23</f>
        <v>-0.78998447204969136</v>
      </c>
      <c r="D102" s="110">
        <f>2 * Solver!$R$22 + 6 *A102 * Solver!$R$23</f>
        <v>7.0307108350586578</v>
      </c>
      <c r="E102" s="110">
        <f>(2 * Solver!$R$22 + 6 *A102 * Solver!$R$23)*constants!$B$12</f>
        <v>1.5281249999999993</v>
      </c>
      <c r="F102" s="110">
        <f xml:space="preserve"> 6 *  Solver!$R$23 * constants!$B$12</f>
        <v>3.4374999999999996</v>
      </c>
      <c r="G102" s="111">
        <f>IF(A102=Main!$E$6,F103-F102,IF(A102=Main!$G$6,F103-F102,IF(A102=Main!$C$6,F102,IF(A102=Main!$I$6,-F102,0))))</f>
        <v>0</v>
      </c>
    </row>
    <row r="103" spans="1:7" s="106" customFormat="1">
      <c r="A103" s="109">
        <f>Main!E6</f>
        <v>1</v>
      </c>
      <c r="B103" s="110">
        <f>Solver!$R$20 + A103 * Solver!$R$21 + A103 ^ 2 * Solver!$R$22+Data!A103 ^ 3 * Solver!$R$23</f>
        <v>-1.6774020397208806</v>
      </c>
      <c r="C103" s="110">
        <f>Solver!$R$21+2*A103*Solver!$R$22+3*A103^2*Solver!$R$23</f>
        <v>-0.71888658845180675</v>
      </c>
      <c r="D103" s="110">
        <f>2 * Solver!$R$22 + 6 *A103 * Solver!$R$23</f>
        <v>7.1888658845180569</v>
      </c>
      <c r="E103" s="110">
        <f>(2 * Solver!$R$22 + 6 *A103 * Solver!$R$23)*constants!$B$12</f>
        <v>1.5624999999999996</v>
      </c>
      <c r="F103" s="110">
        <f xml:space="preserve"> 6 *  Solver!$R$23 * constants!$B$12</f>
        <v>3.4374999999999996</v>
      </c>
      <c r="G103" s="111">
        <f>IF(A103=Main!$E$6,F104-F103,IF(A103=Main!$G$6,F104-F103,IF(A103=Main!$C$6,F103,IF(A103=Main!$I$6,-F103,0))))</f>
        <v>-5</v>
      </c>
    </row>
    <row r="104" spans="1:7" s="87" customFormat="1">
      <c r="A104" s="109">
        <f>(A203-A103)/100+A103</f>
        <v>1.01</v>
      </c>
      <c r="B104" s="110">
        <f>Solver!$R$24 + A104 * Solver!$R$25 +A104^ 2 * Solver!$R$26+A104^ 3 * Solver!$R$27</f>
        <v>-1.6842326604554867</v>
      </c>
      <c r="C104" s="110">
        <f>Solver!$R$25+2*A104*Solver!$R$26+3*A104^2*Solver!$R$27</f>
        <v>-0.64735737290085149</v>
      </c>
      <c r="D104" s="110">
        <f>2 * Solver!$R$26 + 6 *A104 * Solver!$R$27</f>
        <v>7.116977225672878</v>
      </c>
      <c r="E104" s="110">
        <f>(2 * Solver!$R$26 + 6 *A104 * Solver!$R$27)*constants!$B$12</f>
        <v>1.546875</v>
      </c>
      <c r="F104" s="110">
        <f xml:space="preserve"> 6 *  Solver!$R$27 * constants!$B$12</f>
        <v>-1.5625000000000002</v>
      </c>
      <c r="G104" s="111">
        <f>IF(A104=Main!$E$6,F105-F104,IF(A104=Main!$G$6,F105-F104,IF(A104=Main!$C$6,F104,IF(A104=Main!$I$6,-F104,0))))</f>
        <v>0</v>
      </c>
    </row>
    <row r="105" spans="1:7" s="87" customFormat="1">
      <c r="A105" s="109">
        <f>2*(A203-A103)/100+A103</f>
        <v>1.02</v>
      </c>
      <c r="B105" s="110">
        <f>Solver!$R$24 + A105 * Solver!$R$25 +A105^ 2 * Solver!$R$26+A105^ 3 * Solver!$R$27</f>
        <v>-1.6903515834675256</v>
      </c>
      <c r="C105" s="110">
        <f>Solver!$R$25+2*A105*Solver!$R$26+3*A105^2*Solver!$R$27</f>
        <v>-0.57654704393834866</v>
      </c>
      <c r="D105" s="110">
        <f>2 * Solver!$R$26 + 6 *A105 * Solver!$R$27</f>
        <v>7.0450885668276984</v>
      </c>
      <c r="E105" s="110">
        <f>(2 * Solver!$R$26 + 6 *A105 * Solver!$R$27)*constants!$B$12</f>
        <v>1.5312500000000002</v>
      </c>
      <c r="F105" s="110">
        <f xml:space="preserve"> 6 *  Solver!$R$27 * constants!$B$12</f>
        <v>-1.5625000000000002</v>
      </c>
      <c r="G105" s="111">
        <f>IF(A105=Main!$E$6,F106-F105,IF(A105=Main!$G$6,F106-F105,IF(A105=Main!$C$6,F105,IF(A105=Main!$I$6,-F105,0))))</f>
        <v>0</v>
      </c>
    </row>
    <row r="106" spans="1:7" s="87" customFormat="1">
      <c r="A106" s="109">
        <f>3*(A203-A103)/100+A103</f>
        <v>1.03</v>
      </c>
      <c r="B106" s="110">
        <f>Solver!$R$24 + A106 * Solver!$R$25 +A106^ 2 * Solver!$R$26+A106^ 3 * Solver!$R$27</f>
        <v>-1.6957659976228823</v>
      </c>
      <c r="C106" s="110">
        <f>Solver!$R$25+2*A106*Solver!$R$26+3*A106^2*Solver!$R$27</f>
        <v>-0.50645560156429736</v>
      </c>
      <c r="D106" s="110">
        <f>2 * Solver!$R$26 + 6 *A106 * Solver!$R$27</f>
        <v>6.9731999079825178</v>
      </c>
      <c r="E106" s="110">
        <f>(2 * Solver!$R$26 + 6 *A106 * Solver!$R$27)*constants!$B$12</f>
        <v>1.5156250000000002</v>
      </c>
      <c r="F106" s="110">
        <f xml:space="preserve"> 6 *  Solver!$R$27 * constants!$B$12</f>
        <v>-1.5625000000000002</v>
      </c>
      <c r="G106" s="111">
        <f>IF(A106=Main!$E$6,F107-F106,IF(A106=Main!$G$6,F107-F106,IF(A106=Main!$C$6,F106,IF(A106=Main!$I$6,-F106,0))))</f>
        <v>0</v>
      </c>
    </row>
    <row r="107" spans="1:7" s="87" customFormat="1">
      <c r="A107" s="109">
        <f>4*(A203-A103)/100+A103</f>
        <v>1.04</v>
      </c>
      <c r="B107" s="110">
        <f>Solver!$R$24 + A107 * Solver!$R$25 +A107^ 2 * Solver!$R$26+A107^ 3 * Solver!$R$27</f>
        <v>-1.7004830917874385</v>
      </c>
      <c r="C107" s="110">
        <f>Solver!$R$25+2*A107*Solver!$R$26+3*A107^2*Solver!$R$27</f>
        <v>-0.43708304577869894</v>
      </c>
      <c r="D107" s="110">
        <f>2 * Solver!$R$26 + 6 *A107 * Solver!$R$27</f>
        <v>6.9013112491373372</v>
      </c>
      <c r="E107" s="110">
        <f>(2 * Solver!$R$26 + 6 *A107 * Solver!$R$27)*constants!$B$12</f>
        <v>1.5000000000000002</v>
      </c>
      <c r="F107" s="110">
        <f xml:space="preserve"> 6 *  Solver!$R$27 * constants!$B$12</f>
        <v>-1.5625000000000002</v>
      </c>
      <c r="G107" s="111">
        <f>IF(A107=Main!$E$6,F108-F107,IF(A107=Main!$G$6,F108-F107,IF(A107=Main!$C$6,F107,IF(A107=Main!$I$6,-F107,0))))</f>
        <v>0</v>
      </c>
    </row>
    <row r="108" spans="1:7">
      <c r="A108" s="109">
        <f>(A203-A103)/20+A103</f>
        <v>1.05</v>
      </c>
      <c r="B108" s="110">
        <f>Solver!$R$24 + A108 * Solver!$R$25 +A108^ 2 * Solver!$R$26+A108^ 3 * Solver!$R$27</f>
        <v>-1.7045100548270835</v>
      </c>
      <c r="C108" s="110">
        <f>Solver!$R$25+2*A108*Solver!$R$26+3*A108^2*Solver!$R$27</f>
        <v>-0.36842937658155117</v>
      </c>
      <c r="D108" s="110">
        <f>2 * Solver!$R$26 + 6 *A108 * Solver!$R$27</f>
        <v>6.8294225902921557</v>
      </c>
      <c r="E108" s="110">
        <f>(2 * Solver!$R$26 + 6 *A108 * Solver!$R$27)*constants!$B$12</f>
        <v>1.484375</v>
      </c>
      <c r="F108" s="110">
        <f xml:space="preserve"> 6 *  Solver!$R$27 * constants!$B$12</f>
        <v>-1.5625000000000002</v>
      </c>
      <c r="G108" s="111">
        <f>IF(A108=Main!$E$6,F109-F108,IF(A108=Main!$G$6,F109-F108,IF(A108=Main!$C$6,F108,IF(A108=Main!$I$6,-F108,0))))</f>
        <v>0</v>
      </c>
    </row>
    <row r="109" spans="1:7" s="87" customFormat="1">
      <c r="A109" s="109">
        <f>6*(A203-A103)/100+A103</f>
        <v>1.06</v>
      </c>
      <c r="B109" s="110">
        <f>Solver!$R$24 + A109 * Solver!$R$25 +A109^ 2 * Solver!$R$26+A109^ 3 * Solver!$R$27</f>
        <v>-1.7078540756076972</v>
      </c>
      <c r="C109" s="110">
        <f>Solver!$R$25+2*A109*Solver!$R$26+3*A109^2*Solver!$R$27</f>
        <v>-0.30049459397285627</v>
      </c>
      <c r="D109" s="110">
        <f>2 * Solver!$R$26 + 6 *A109 * Solver!$R$27</f>
        <v>6.757533931446976</v>
      </c>
      <c r="E109" s="110">
        <f>(2 * Solver!$R$26 + 6 *A109 * Solver!$R$27)*constants!$B$12</f>
        <v>1.4687500000000002</v>
      </c>
      <c r="F109" s="110">
        <f xml:space="preserve"> 6 *  Solver!$R$27 * constants!$B$12</f>
        <v>-1.5625000000000002</v>
      </c>
      <c r="G109" s="111">
        <f>IF(A109=Main!$E$6,F110-F109,IF(A109=Main!$G$6,F110-F109,IF(A109=Main!$C$6,F109,IF(A109=Main!$I$6,-F109,0))))</f>
        <v>0</v>
      </c>
    </row>
    <row r="110" spans="1:7" s="87" customFormat="1">
      <c r="A110" s="109">
        <f>7*(A203-A103)/100+A103</f>
        <v>1.07</v>
      </c>
      <c r="B110" s="110">
        <f>Solver!$R$24 + A110 * Solver!$R$25 +A110^ 2 * Solver!$R$26+A110^ 3 * Solver!$R$27</f>
        <v>-1.7105223429951688</v>
      </c>
      <c r="C110" s="110">
        <f>Solver!$R$25+2*A110*Solver!$R$26+3*A110^2*Solver!$R$27</f>
        <v>-0.2332786979526098</v>
      </c>
      <c r="D110" s="110">
        <f>2 * Solver!$R$26 + 6 *A110 * Solver!$R$27</f>
        <v>6.6856452726017954</v>
      </c>
      <c r="E110" s="110">
        <f>(2 * Solver!$R$26 + 6 *A110 * Solver!$R$27)*constants!$B$12</f>
        <v>1.4531250000000002</v>
      </c>
      <c r="F110" s="110">
        <f xml:space="preserve"> 6 *  Solver!$R$27 * constants!$B$12</f>
        <v>-1.5625000000000002</v>
      </c>
      <c r="G110" s="111">
        <f>IF(A110=Main!$E$6,F111-F110,IF(A110=Main!$G$6,F111-F110,IF(A110=Main!$C$6,F110,IF(A110=Main!$I$6,-F110,0))))</f>
        <v>0</v>
      </c>
    </row>
    <row r="111" spans="1:7" s="87" customFormat="1">
      <c r="A111" s="109">
        <f>8*(A203-A103)/100+A103</f>
        <v>1.08</v>
      </c>
      <c r="B111" s="110">
        <f>Solver!$R$24 + A111 * Solver!$R$25 +A111^ 2 * Solver!$R$26+A111^ 3 * Solver!$R$27</f>
        <v>-1.7125220458553796</v>
      </c>
      <c r="C111" s="110">
        <f>Solver!$R$25+2*A111*Solver!$R$26+3*A111^2*Solver!$R$27</f>
        <v>-0.16678168852081754</v>
      </c>
      <c r="D111" s="110">
        <f>2 * Solver!$R$26 + 6 *A111 * Solver!$R$27</f>
        <v>6.6137566137566139</v>
      </c>
      <c r="E111" s="110">
        <f>(2 * Solver!$R$26 + 6 *A111 * Solver!$R$27)*constants!$B$12</f>
        <v>1.4375</v>
      </c>
      <c r="F111" s="110">
        <f xml:space="preserve"> 6 *  Solver!$R$27 * constants!$B$12</f>
        <v>-1.5625000000000002</v>
      </c>
      <c r="G111" s="111">
        <f>IF(A111=Main!$E$6,F112-F111,IF(A111=Main!$G$6,F112-F111,IF(A111=Main!$C$6,F111,IF(A111=Main!$I$6,-F111,0))))</f>
        <v>0</v>
      </c>
    </row>
    <row r="112" spans="1:7" s="87" customFormat="1">
      <c r="A112" s="109">
        <f>9*(A203-A103)/100+A103</f>
        <v>1.0900000000000001</v>
      </c>
      <c r="B112" s="110">
        <f>Solver!$R$24 + A112 * Solver!$R$25 +A112^ 2 * Solver!$R$26+A112^ 3 * Solver!$R$27</f>
        <v>-1.713860373054215</v>
      </c>
      <c r="C112" s="110">
        <f>Solver!$R$25+2*A112*Solver!$R$26+3*A112^2*Solver!$R$27</f>
        <v>-0.1010035656774777</v>
      </c>
      <c r="D112" s="110">
        <f>2 * Solver!$R$26 + 6 *A112 * Solver!$R$27</f>
        <v>6.5418679549114334</v>
      </c>
      <c r="E112" s="110">
        <f>(2 * Solver!$R$26 + 6 *A112 * Solver!$R$27)*constants!$B$12</f>
        <v>1.421875</v>
      </c>
      <c r="F112" s="110">
        <f xml:space="preserve"> 6 *  Solver!$R$27 * constants!$B$12</f>
        <v>-1.5625000000000002</v>
      </c>
      <c r="G112" s="111">
        <f>IF(A112=Main!$E$6,F113-F112,IF(A112=Main!$G$6,F113-F112,IF(A112=Main!$C$6,F112,IF(A112=Main!$I$6,-F112,0))))</f>
        <v>0</v>
      </c>
    </row>
    <row r="113" spans="1:7">
      <c r="A113" s="109">
        <f>(A203-A103)/10+A103</f>
        <v>1.1000000000000001</v>
      </c>
      <c r="B113" s="110">
        <f>Solver!$R$24 + A113 * Solver!$R$25 +A113^ 2 * Solver!$R$26+A113^ 3 * Solver!$R$27</f>
        <v>-1.7145445134575583</v>
      </c>
      <c r="C113" s="110">
        <f>Solver!$R$25+2*A113*Solver!$R$26+3*A113^2*Solver!$R$27</f>
        <v>-3.5944329422590293E-2</v>
      </c>
      <c r="D113" s="110">
        <f>2 * Solver!$R$26 + 6 *A113 * Solver!$R$27</f>
        <v>6.4699792960662528</v>
      </c>
      <c r="E113" s="110">
        <f>(2 * Solver!$R$26 + 6 *A113 * Solver!$R$27)*constants!$B$12</f>
        <v>1.40625</v>
      </c>
      <c r="F113" s="110">
        <f xml:space="preserve"> 6 *  Solver!$R$27 * constants!$B$12</f>
        <v>-1.5625000000000002</v>
      </c>
      <c r="G113" s="111">
        <f>IF(A113=Main!$E$6,F114-F113,IF(A113=Main!$G$6,F114-F113,IF(A113=Main!$C$6,F113,IF(A113=Main!$I$6,-F113,0))))</f>
        <v>0</v>
      </c>
    </row>
    <row r="114" spans="1:7" s="87" customFormat="1">
      <c r="A114" s="109">
        <f>11*(A203-A103)/100+A103</f>
        <v>1.1100000000000001</v>
      </c>
      <c r="B114" s="110">
        <f>Solver!$R$24 + A114 * Solver!$R$25 +A114^ 2 * Solver!$R$26+A114^ 3 * Solver!$R$27</f>
        <v>-1.7145816559312932</v>
      </c>
      <c r="C114" s="110">
        <f>Solver!$R$25+2*A114*Solver!$R$26+3*A114^2*Solver!$R$27</f>
        <v>2.8396020243846465E-2</v>
      </c>
      <c r="D114" s="110">
        <f>2 * Solver!$R$26 + 6 *A114 * Solver!$R$27</f>
        <v>6.3980906372210731</v>
      </c>
      <c r="E114" s="110">
        <f>(2 * Solver!$R$26 + 6 *A114 * Solver!$R$27)*constants!$B$12</f>
        <v>1.3906250000000002</v>
      </c>
      <c r="F114" s="110">
        <f xml:space="preserve"> 6 *  Solver!$R$27 * constants!$B$12</f>
        <v>-1.5625000000000002</v>
      </c>
      <c r="G114" s="111">
        <f>IF(A114=Main!$E$6,F115-F114,IF(A114=Main!$G$6,F115-F114,IF(A114=Main!$C$6,F114,IF(A114=Main!$I$6,-F114,0))))</f>
        <v>0</v>
      </c>
    </row>
    <row r="115" spans="1:7" s="87" customFormat="1">
      <c r="A115" s="109">
        <f>12*(A203-A103)/100+A103</f>
        <v>1.1200000000000001</v>
      </c>
      <c r="B115" s="110">
        <f>Solver!$R$24 + A115 * Solver!$R$25 +A115^ 2 * Solver!$R$26+A115^ 3 * Solver!$R$27</f>
        <v>-1.7139789893413089</v>
      </c>
      <c r="C115" s="110">
        <f>Solver!$R$25+2*A115*Solver!$R$26+3*A115^2*Solver!$R$27</f>
        <v>9.2017483321831683E-2</v>
      </c>
      <c r="D115" s="110">
        <f>2 * Solver!$R$26 + 6 *A115 * Solver!$R$27</f>
        <v>6.3262019783758916</v>
      </c>
      <c r="E115" s="110">
        <f>(2 * Solver!$R$26 + 6 *A115 * Solver!$R$27)*constants!$B$12</f>
        <v>1.375</v>
      </c>
      <c r="F115" s="110">
        <f xml:space="preserve"> 6 *  Solver!$R$27 * constants!$B$12</f>
        <v>-1.5625000000000002</v>
      </c>
      <c r="G115" s="111">
        <f>IF(A115=Main!$E$6,F116-F115,IF(A115=Main!$G$6,F116-F115,IF(A115=Main!$C$6,F115,IF(A115=Main!$I$6,-F115,0))))</f>
        <v>0</v>
      </c>
    </row>
    <row r="116" spans="1:7" s="87" customFormat="1">
      <c r="A116" s="109">
        <f>13*(A203-A103)/100+A103</f>
        <v>1.1299999999999999</v>
      </c>
      <c r="B116" s="110">
        <f>Solver!$R$24 + A116 * Solver!$R$25 +A116^ 2 * Solver!$R$26+A116^ 3 * Solver!$R$27</f>
        <v>-1.7127437025534842</v>
      </c>
      <c r="C116" s="110">
        <f>Solver!$R$25+2*A116*Solver!$R$26+3*A116^2*Solver!$R$27</f>
        <v>0.1549200598113627</v>
      </c>
      <c r="D116" s="110">
        <f>2 * Solver!$R$26 + 6 *A116 * Solver!$R$27</f>
        <v>6.2543133195307128</v>
      </c>
      <c r="E116" s="110">
        <f>(2 * Solver!$R$26 + 6 *A116 * Solver!$R$27)*constants!$B$12</f>
        <v>1.3593750000000004</v>
      </c>
      <c r="F116" s="110">
        <f xml:space="preserve"> 6 *  Solver!$R$27 * constants!$B$12</f>
        <v>-1.5625000000000002</v>
      </c>
      <c r="G116" s="111">
        <f>IF(A116=Main!$E$6,F117-F116,IF(A116=Main!$G$6,F117-F116,IF(A116=Main!$C$6,F116,IF(A116=Main!$I$6,-F116,0))))</f>
        <v>0</v>
      </c>
    </row>
    <row r="117" spans="1:7" s="87" customFormat="1">
      <c r="A117" s="109">
        <f>14*(A203-A103)/100+A103</f>
        <v>1.1400000000000001</v>
      </c>
      <c r="B117" s="110">
        <f>Solver!$R$24 + A117 * Solver!$R$25 +A117^ 2 * Solver!$R$26+A117^ 3 * Solver!$R$27</f>
        <v>-1.7108829844337095</v>
      </c>
      <c r="C117" s="110">
        <f>Solver!$R$25+2*A117*Solver!$R$26+3*A117^2*Solver!$R$27</f>
        <v>0.21710374971244573</v>
      </c>
      <c r="D117" s="110">
        <f>2 * Solver!$R$26 + 6 *A117 * Solver!$R$27</f>
        <v>6.1824246606855304</v>
      </c>
      <c r="E117" s="110">
        <f>(2 * Solver!$R$26 + 6 *A117 * Solver!$R$27)*constants!$B$12</f>
        <v>1.34375</v>
      </c>
      <c r="F117" s="110">
        <f xml:space="preserve"> 6 *  Solver!$R$27 * constants!$B$12</f>
        <v>-1.5625000000000002</v>
      </c>
      <c r="G117" s="111">
        <f>IF(A117=Main!$E$6,F118-F117,IF(A117=Main!$G$6,F118-F117,IF(A117=Main!$C$6,F117,IF(A117=Main!$I$6,-F117,0))))</f>
        <v>0</v>
      </c>
    </row>
    <row r="118" spans="1:7">
      <c r="A118" s="109">
        <f>3*(A203-A103)/20+A103</f>
        <v>1.1499999999999999</v>
      </c>
      <c r="B118" s="110">
        <f>Solver!$R$24 + A118 * Solver!$R$25 +A118^ 2 * Solver!$R$26+A118^ 3 * Solver!$R$27</f>
        <v>-1.7084040238478644</v>
      </c>
      <c r="C118" s="110">
        <f>Solver!$R$25+2*A118*Solver!$R$26+3*A118^2*Solver!$R$27</f>
        <v>0.27856855302507277</v>
      </c>
      <c r="D118" s="110">
        <f>2 * Solver!$R$26 + 6 *A118 * Solver!$R$27</f>
        <v>6.1105360018403516</v>
      </c>
      <c r="E118" s="110">
        <f>(2 * Solver!$R$26 + 6 *A118 * Solver!$R$27)*constants!$B$12</f>
        <v>1.3281250000000004</v>
      </c>
      <c r="F118" s="110">
        <f xml:space="preserve"> 6 *  Solver!$R$27 * constants!$B$12</f>
        <v>-1.5625000000000002</v>
      </c>
      <c r="G118" s="111">
        <f>IF(A118=Main!$E$6,F119-F118,IF(A118=Main!$G$6,F119-F118,IF(A118=Main!$C$6,F118,IF(A118=Main!$I$6,-F118,0))))</f>
        <v>0</v>
      </c>
    </row>
    <row r="119" spans="1:7" s="87" customFormat="1">
      <c r="A119" s="109">
        <f>16*(A203-A103)/100+A103</f>
        <v>1.1599999999999999</v>
      </c>
      <c r="B119" s="110">
        <f>Solver!$R$24 + A119 * Solver!$R$25 +A119^ 2 * Solver!$R$26+A119^ 3 * Solver!$R$27</f>
        <v>-1.7053140096618353</v>
      </c>
      <c r="C119" s="110">
        <f>Solver!$R$25+2*A119*Solver!$R$26+3*A119^2*Solver!$R$27</f>
        <v>0.33931446974925095</v>
      </c>
      <c r="D119" s="110">
        <f>2 * Solver!$R$26 + 6 *A119 * Solver!$R$27</f>
        <v>6.038647342995171</v>
      </c>
      <c r="E119" s="110">
        <f>(2 * Solver!$R$26 + 6 *A119 * Solver!$R$27)*constants!$B$12</f>
        <v>1.3125000000000004</v>
      </c>
      <c r="F119" s="110">
        <f xml:space="preserve"> 6 *  Solver!$R$27 * constants!$B$12</f>
        <v>-1.5625000000000002</v>
      </c>
      <c r="G119" s="111">
        <f>IF(A119=Main!$E$6,F120-F119,IF(A119=Main!$G$6,F120-F119,IF(A119=Main!$C$6,F119,IF(A119=Main!$I$6,-F119,0))))</f>
        <v>0</v>
      </c>
    </row>
    <row r="120" spans="1:7" s="87" customFormat="1">
      <c r="A120" s="109">
        <f>17*(A203-A103)/100+A103</f>
        <v>1.17</v>
      </c>
      <c r="B120" s="110">
        <f>Solver!$R$24 + A120 * Solver!$R$25 +A120^ 2 * Solver!$R$26+A120^ 3 * Solver!$R$27</f>
        <v>-1.7016201307415086</v>
      </c>
      <c r="C120" s="110">
        <f>Solver!$R$25+2*A120*Solver!$R$26+3*A120^2*Solver!$R$27</f>
        <v>0.39934149988497669</v>
      </c>
      <c r="D120" s="110">
        <f>2 * Solver!$R$26 + 6 *A120 * Solver!$R$27</f>
        <v>5.9667586841499904</v>
      </c>
      <c r="E120" s="110">
        <f>(2 * Solver!$R$26 + 6 *A120 * Solver!$R$27)*constants!$B$12</f>
        <v>1.2968750000000004</v>
      </c>
      <c r="F120" s="110">
        <f xml:space="preserve"> 6 *  Solver!$R$27 * constants!$B$12</f>
        <v>-1.5625000000000002</v>
      </c>
      <c r="G120" s="111">
        <f>IF(A120=Main!$E$6,F121-F120,IF(A120=Main!$G$6,F121-F120,IF(A120=Main!$C$6,F120,IF(A120=Main!$I$6,-F120,0))))</f>
        <v>0</v>
      </c>
    </row>
    <row r="121" spans="1:7" s="87" customFormat="1">
      <c r="A121" s="109">
        <f>18*(A203-A103)/100+A103</f>
        <v>1.18</v>
      </c>
      <c r="B121" s="110">
        <f>Solver!$R$24 + A121 * Solver!$R$25 +A121^ 2 * Solver!$R$26+A121^ 3 * Solver!$R$27</f>
        <v>-1.6973295759527642</v>
      </c>
      <c r="C121" s="110">
        <f>Solver!$R$25+2*A121*Solver!$R$26+3*A121^2*Solver!$R$27</f>
        <v>0.4586496434322509</v>
      </c>
      <c r="D121" s="110">
        <f>2 * Solver!$R$26 + 6 *A121 * Solver!$R$27</f>
        <v>5.8948700253048081</v>
      </c>
      <c r="E121" s="110">
        <f>(2 * Solver!$R$26 + 6 *A121 * Solver!$R$27)*constants!$B$12</f>
        <v>1.28125</v>
      </c>
      <c r="F121" s="110">
        <f xml:space="preserve"> 6 *  Solver!$R$27 * constants!$B$12</f>
        <v>-1.5625000000000002</v>
      </c>
      <c r="G121" s="111">
        <f>IF(A121=Main!$E$6,F122-F121,IF(A121=Main!$G$6,F122-F121,IF(A121=Main!$C$6,F121,IF(A121=Main!$I$6,-F121,0))))</f>
        <v>0</v>
      </c>
    </row>
    <row r="122" spans="1:7" s="87" customFormat="1">
      <c r="A122" s="109">
        <f>19*(A203-A103)/100+A103</f>
        <v>1.19</v>
      </c>
      <c r="B122" s="110">
        <f>Solver!$R$24 + A122 * Solver!$R$25 +A122^ 2 * Solver!$R$26+A122^ 3 * Solver!$R$27</f>
        <v>-1.69244953416149</v>
      </c>
      <c r="C122" s="110">
        <f>Solver!$R$25+2*A122*Solver!$R$26+3*A122^2*Solver!$R$27</f>
        <v>0.51723890039107268</v>
      </c>
      <c r="D122" s="110">
        <f>2 * Solver!$R$26 + 6 *A122 * Solver!$R$27</f>
        <v>5.8229813664596293</v>
      </c>
      <c r="E122" s="110">
        <f>(2 * Solver!$R$26 + 6 *A122 * Solver!$R$27)*constants!$B$12</f>
        <v>1.2656250000000004</v>
      </c>
      <c r="F122" s="110">
        <f xml:space="preserve"> 6 *  Solver!$R$27 * constants!$B$12</f>
        <v>-1.5625000000000002</v>
      </c>
      <c r="G122" s="111">
        <f>IF(A122=Main!$E$6,F123-F122,IF(A122=Main!$G$6,F123-F122,IF(A122=Main!$C$6,F122,IF(A122=Main!$I$6,-F122,0))))</f>
        <v>0</v>
      </c>
    </row>
    <row r="123" spans="1:7">
      <c r="A123" s="109">
        <f>(A203-A103)/5+A103</f>
        <v>1.2</v>
      </c>
      <c r="B123" s="110">
        <f>Solver!$R$24 + A123 * Solver!$R$25 +A123^ 2 * Solver!$R$26+A123^ 3 * Solver!$R$27</f>
        <v>-1.6869871942335704</v>
      </c>
      <c r="C123" s="110">
        <f>Solver!$R$25+2*A123*Solver!$R$26+3*A123^2*Solver!$R$27</f>
        <v>0.57510927076144203</v>
      </c>
      <c r="D123" s="110">
        <f>2 * Solver!$R$26 + 6 *A123 * Solver!$R$27</f>
        <v>5.7510927076144487</v>
      </c>
      <c r="E123" s="110">
        <f>(2 * Solver!$R$26 + 6 *A123 * Solver!$R$27)*constants!$B$12</f>
        <v>1.2500000000000004</v>
      </c>
      <c r="F123" s="110">
        <f xml:space="preserve"> 6 *  Solver!$R$27 * constants!$B$12</f>
        <v>-1.5625000000000002</v>
      </c>
      <c r="G123" s="111">
        <f>IF(A123=Main!$E$6,F124-F123,IF(A123=Main!$G$6,F124-F123,IF(A123=Main!$C$6,F123,IF(A123=Main!$I$6,-F123,0))))</f>
        <v>0</v>
      </c>
    </row>
    <row r="124" spans="1:7" s="87" customFormat="1">
      <c r="A124" s="109">
        <f>21*(A203-A103)/100+A103</f>
        <v>1.21</v>
      </c>
      <c r="B124" s="110">
        <f>Solver!$R$24 + A124 * Solver!$R$25 +A124^ 2 * Solver!$R$26+A124^ 3 * Solver!$R$27</f>
        <v>-1.6809497450348894</v>
      </c>
      <c r="C124" s="110">
        <f>Solver!$R$25+2*A124*Solver!$R$26+3*A124^2*Solver!$R$27</f>
        <v>0.63226075454336161</v>
      </c>
      <c r="D124" s="110">
        <f>2 * Solver!$R$26 + 6 *A124 * Solver!$R$27</f>
        <v>5.6792040487692681</v>
      </c>
      <c r="E124" s="110">
        <f>(2 * Solver!$R$26 + 6 *A124 * Solver!$R$27)*constants!$B$12</f>
        <v>1.2343750000000004</v>
      </c>
      <c r="F124" s="110">
        <f xml:space="preserve"> 6 *  Solver!$R$27 * constants!$B$12</f>
        <v>-1.5625000000000002</v>
      </c>
      <c r="G124" s="111">
        <f>IF(A124=Main!$E$6,F125-F124,IF(A124=Main!$G$6,F125-F124,IF(A124=Main!$C$6,F124,IF(A124=Main!$I$6,-F124,0))))</f>
        <v>0</v>
      </c>
    </row>
    <row r="125" spans="1:7" s="87" customFormat="1">
      <c r="A125" s="109">
        <f>22*(A203-A103)/100+A103</f>
        <v>1.22</v>
      </c>
      <c r="B125" s="110">
        <f>Solver!$R$24 + A125 * Solver!$R$25 +A125^ 2 * Solver!$R$26+A125^ 3 * Solver!$R$27</f>
        <v>-1.6743443754313319</v>
      </c>
      <c r="C125" s="110">
        <f>Solver!$R$25+2*A125*Solver!$R$26+3*A125^2*Solver!$R$27</f>
        <v>0.68869335173683144</v>
      </c>
      <c r="D125" s="110">
        <f>2 * Solver!$R$26 + 6 *A125 * Solver!$R$27</f>
        <v>5.6073153899240857</v>
      </c>
      <c r="E125" s="110">
        <f>(2 * Solver!$R$26 + 6 *A125 * Solver!$R$27)*constants!$B$12</f>
        <v>1.21875</v>
      </c>
      <c r="F125" s="110">
        <f xml:space="preserve"> 6 *  Solver!$R$27 * constants!$B$12</f>
        <v>-1.5625000000000002</v>
      </c>
      <c r="G125" s="111">
        <f>IF(A125=Main!$E$6,F126-F125,IF(A125=Main!$G$6,F126-F125,IF(A125=Main!$C$6,F125,IF(A125=Main!$I$6,-F125,0))))</f>
        <v>0</v>
      </c>
    </row>
    <row r="126" spans="1:7" s="87" customFormat="1">
      <c r="A126" s="109">
        <f>23*(A203-A103)/100+A103</f>
        <v>1.23</v>
      </c>
      <c r="B126" s="110">
        <f>Solver!$R$24 + A126 * Solver!$R$25 +A126^ 2 * Solver!$R$26+A126^ 3 * Solver!$R$27</f>
        <v>-1.6671782742887813</v>
      </c>
      <c r="C126" s="110">
        <f>Solver!$R$25+2*A126*Solver!$R$26+3*A126^2*Solver!$R$27</f>
        <v>0.74440706234184706</v>
      </c>
      <c r="D126" s="110">
        <f>2 * Solver!$R$26 + 6 *A126 * Solver!$R$27</f>
        <v>5.5354267310789051</v>
      </c>
      <c r="E126" s="110">
        <f>(2 * Solver!$R$26 + 6 *A126 * Solver!$R$27)*constants!$B$12</f>
        <v>1.203125</v>
      </c>
      <c r="F126" s="110">
        <f xml:space="preserve"> 6 *  Solver!$R$27 * constants!$B$12</f>
        <v>-1.5625000000000002</v>
      </c>
      <c r="G126" s="111">
        <f>IF(A126=Main!$E$6,F127-F126,IF(A126=Main!$G$6,F127-F126,IF(A126=Main!$C$6,F126,IF(A126=Main!$I$6,-F126,0))))</f>
        <v>0</v>
      </c>
    </row>
    <row r="127" spans="1:7" s="87" customFormat="1">
      <c r="A127" s="109">
        <f>24*(A203-A103)/100+A103</f>
        <v>1.24</v>
      </c>
      <c r="B127" s="110">
        <f>Solver!$R$24 + A127 * Solver!$R$25 +A127^ 2 * Solver!$R$26+A127^ 3 * Solver!$R$27</f>
        <v>-1.6594586304731234</v>
      </c>
      <c r="C127" s="110">
        <f>Solver!$R$25+2*A127*Solver!$R$26+3*A127^2*Solver!$R$27</f>
        <v>0.79940188635840936</v>
      </c>
      <c r="D127" s="110">
        <f>2 * Solver!$R$26 + 6 *A127 * Solver!$R$27</f>
        <v>5.4635380722337263</v>
      </c>
      <c r="E127" s="110">
        <f>(2 * Solver!$R$26 + 6 *A127 * Solver!$R$27)*constants!$B$12</f>
        <v>1.1875000000000004</v>
      </c>
      <c r="F127" s="110">
        <f xml:space="preserve"> 6 *  Solver!$R$27 * constants!$B$12</f>
        <v>-1.5625000000000002</v>
      </c>
      <c r="G127" s="111">
        <f>IF(A127=Main!$E$6,F128-F127,IF(A127=Main!$G$6,F128-F127,IF(A127=Main!$C$6,F127,IF(A127=Main!$I$6,-F127,0))))</f>
        <v>0</v>
      </c>
    </row>
    <row r="128" spans="1:7">
      <c r="A128" s="109">
        <f>(A203-A103)/4+A103</f>
        <v>1.25</v>
      </c>
      <c r="B128" s="110">
        <f>Solver!$R$24 + A128 * Solver!$R$25 +A128^ 2 * Solver!$R$26+A128^ 3 * Solver!$R$27</f>
        <v>-1.6511926328502402</v>
      </c>
      <c r="C128" s="110">
        <f>Solver!$R$25+2*A128*Solver!$R$26+3*A128^2*Solver!$R$27</f>
        <v>0.85367782378652013</v>
      </c>
      <c r="D128" s="110">
        <f>2 * Solver!$R$26 + 6 *A128 * Solver!$R$27</f>
        <v>5.391649413388544</v>
      </c>
      <c r="E128" s="110">
        <f>(2 * Solver!$R$26 + 6 *A128 * Solver!$R$27)*constants!$B$12</f>
        <v>1.171875</v>
      </c>
      <c r="F128" s="110">
        <f xml:space="preserve"> 6 *  Solver!$R$27 * constants!$B$12</f>
        <v>-1.5625000000000002</v>
      </c>
      <c r="G128" s="111">
        <f>IF(A128=Main!$E$6,F129-F128,IF(A128=Main!$G$6,F129-F128,IF(A128=Main!$C$6,F128,IF(A128=Main!$I$6,-F128,0))))</f>
        <v>0</v>
      </c>
    </row>
    <row r="129" spans="1:7" s="87" customFormat="1">
      <c r="A129" s="109">
        <f>26*(A203-A103)/100+A103</f>
        <v>1.26</v>
      </c>
      <c r="B129" s="110">
        <f>Solver!$R$24 + A129 * Solver!$R$25 +A129^ 2 * Solver!$R$26+A129^ 3 * Solver!$R$27</f>
        <v>-1.6423874702860193</v>
      </c>
      <c r="C129" s="110">
        <f>Solver!$R$25+2*A129*Solver!$R$26+3*A129^2*Solver!$R$27</f>
        <v>0.90723487462617936</v>
      </c>
      <c r="D129" s="110">
        <f>2 * Solver!$R$26 + 6 *A129 * Solver!$R$27</f>
        <v>5.3197607545433634</v>
      </c>
      <c r="E129" s="110">
        <f>(2 * Solver!$R$26 + 6 *A129 * Solver!$R$27)*constants!$B$12</f>
        <v>1.15625</v>
      </c>
      <c r="F129" s="110">
        <f xml:space="preserve"> 6 *  Solver!$R$27 * constants!$B$12</f>
        <v>-1.5625000000000002</v>
      </c>
      <c r="G129" s="111">
        <f>IF(A129=Main!$E$6,F130-F129,IF(A129=Main!$G$6,F130-F129,IF(A129=Main!$C$6,F129,IF(A129=Main!$I$6,-F129,0))))</f>
        <v>0</v>
      </c>
    </row>
    <row r="130" spans="1:7" s="87" customFormat="1">
      <c r="A130" s="109">
        <f>27*(A203-A103)/100+A103</f>
        <v>1.27</v>
      </c>
      <c r="B130" s="110">
        <f>Solver!$R$24 + A130 * Solver!$R$25 +A130^ 2 * Solver!$R$26+A130^ 3 * Solver!$R$27</f>
        <v>-1.6330503316463458</v>
      </c>
      <c r="C130" s="110">
        <f>Solver!$R$25+2*A130*Solver!$R$26+3*A130^2*Solver!$R$27</f>
        <v>0.96007303887738793</v>
      </c>
      <c r="D130" s="110">
        <f>2 * Solver!$R$26 + 6 *A130 * Solver!$R$27</f>
        <v>5.2478720956981828</v>
      </c>
      <c r="E130" s="110">
        <f>(2 * Solver!$R$26 + 6 *A130 * Solver!$R$27)*constants!$B$12</f>
        <v>1.140625</v>
      </c>
      <c r="F130" s="110">
        <f xml:space="preserve"> 6 *  Solver!$R$27 * constants!$B$12</f>
        <v>-1.5625000000000002</v>
      </c>
      <c r="G130" s="111">
        <f>IF(A130=Main!$E$6,F131-F130,IF(A130=Main!$G$6,F131-F130,IF(A130=Main!$C$6,F130,IF(A130=Main!$I$6,-F130,0))))</f>
        <v>0</v>
      </c>
    </row>
    <row r="131" spans="1:7" s="87" customFormat="1">
      <c r="A131" s="109">
        <f>28*(A203-A103)/100+A103</f>
        <v>1.28</v>
      </c>
      <c r="B131" s="110">
        <f>Solver!$R$24 + A131 * Solver!$R$25 +A131^ 2 * Solver!$R$26+A131^ 3 * Solver!$R$27</f>
        <v>-1.6231884057971002</v>
      </c>
      <c r="C131" s="110">
        <f>Solver!$R$25+2*A131*Solver!$R$26+3*A131^2*Solver!$R$27</f>
        <v>1.0121923165401432</v>
      </c>
      <c r="D131" s="110">
        <f>2 * Solver!$R$26 + 6 *A131 * Solver!$R$27</f>
        <v>5.175983436853004</v>
      </c>
      <c r="E131" s="110">
        <f>(2 * Solver!$R$26 + 6 *A131 * Solver!$R$27)*constants!$B$12</f>
        <v>1.1250000000000004</v>
      </c>
      <c r="F131" s="110">
        <f xml:space="preserve"> 6 *  Solver!$R$27 * constants!$B$12</f>
        <v>-1.5625000000000002</v>
      </c>
      <c r="G131" s="111">
        <f>IF(A131=Main!$E$6,F132-F131,IF(A131=Main!$G$6,F132-F131,IF(A131=Main!$C$6,F131,IF(A131=Main!$I$6,-F131,0))))</f>
        <v>0</v>
      </c>
    </row>
    <row r="132" spans="1:7" s="87" customFormat="1">
      <c r="A132" s="109">
        <f>29*(A203-A103)/100+A103</f>
        <v>1.29</v>
      </c>
      <c r="B132" s="110">
        <f>Solver!$R$24 + A132 * Solver!$R$25 +A132^ 2 * Solver!$R$26+A132^ 3 * Solver!$R$27</f>
        <v>-1.6128088816041712</v>
      </c>
      <c r="C132" s="110">
        <f>Solver!$R$25+2*A132*Solver!$R$26+3*A132^2*Solver!$R$27</f>
        <v>1.0635927076144478</v>
      </c>
      <c r="D132" s="110">
        <f>2 * Solver!$R$26 + 6 *A132 * Solver!$R$27</f>
        <v>5.1040947780078216</v>
      </c>
      <c r="E132" s="110">
        <f>(2 * Solver!$R$26 + 6 *A132 * Solver!$R$27)*constants!$B$12</f>
        <v>1.109375</v>
      </c>
      <c r="F132" s="110">
        <f xml:space="preserve"> 6 *  Solver!$R$27 * constants!$B$12</f>
        <v>-1.5625000000000002</v>
      </c>
      <c r="G132" s="111">
        <f>IF(A132=Main!$E$6,F133-F132,IF(A132=Main!$G$6,F133-F132,IF(A132=Main!$C$6,F132,IF(A132=Main!$I$6,-F132,0))))</f>
        <v>0</v>
      </c>
    </row>
    <row r="133" spans="1:7">
      <c r="A133" s="109">
        <f>6*(A203-A103)/20+A103</f>
        <v>1.3</v>
      </c>
      <c r="B133" s="110">
        <f>Solver!$R$24 + A133 * Solver!$R$25 +A133^ 2 * Solver!$R$26+A133^ 3 * Solver!$R$27</f>
        <v>-1.6019189479334406</v>
      </c>
      <c r="C133" s="110">
        <f>Solver!$R$25+2*A133*Solver!$R$26+3*A133^2*Solver!$R$27</f>
        <v>1.1142742121003</v>
      </c>
      <c r="D133" s="110">
        <f>2 * Solver!$R$26 + 6 *A133 * Solver!$R$27</f>
        <v>5.032206119162641</v>
      </c>
      <c r="E133" s="110">
        <f>(2 * Solver!$R$26 + 6 *A133 * Solver!$R$27)*constants!$B$12</f>
        <v>1.09375</v>
      </c>
      <c r="F133" s="110">
        <f xml:space="preserve"> 6 *  Solver!$R$27 * constants!$B$12</f>
        <v>-1.5625000000000002</v>
      </c>
      <c r="G133" s="111">
        <f>IF(A133=Main!$E$6,F134-F133,IF(A133=Main!$G$6,F134-F133,IF(A133=Main!$C$6,F133,IF(A133=Main!$I$6,-F133,0))))</f>
        <v>0</v>
      </c>
    </row>
    <row r="134" spans="1:7" s="87" customFormat="1">
      <c r="A134" s="109">
        <f>31*(A203-A103)/100+A103</f>
        <v>1.31</v>
      </c>
      <c r="B134" s="110">
        <f>Solver!$R$24 + A134 * Solver!$R$25 +A134^ 2 * Solver!$R$26+A134^ 3 * Solver!$R$27</f>
        <v>-1.5905257936507935</v>
      </c>
      <c r="C134" s="110">
        <f>Solver!$R$25+2*A134*Solver!$R$26+3*A134^2*Solver!$R$27</f>
        <v>1.1642368299976997</v>
      </c>
      <c r="D134" s="110">
        <f>2 * Solver!$R$26 + 6 *A134 * Solver!$R$27</f>
        <v>4.9603174603174605</v>
      </c>
      <c r="E134" s="110">
        <f>(2 * Solver!$R$26 + 6 *A134 * Solver!$R$27)*constants!$B$12</f>
        <v>1.078125</v>
      </c>
      <c r="F134" s="110">
        <f xml:space="preserve"> 6 *  Solver!$R$27 * constants!$B$12</f>
        <v>-1.5625000000000002</v>
      </c>
      <c r="G134" s="111">
        <f>IF(A134=Main!$E$6,F135-F134,IF(A134=Main!$G$6,F135-F134,IF(A134=Main!$C$6,F134,IF(A134=Main!$I$6,-F134,0))))</f>
        <v>0</v>
      </c>
    </row>
    <row r="135" spans="1:7" s="87" customFormat="1">
      <c r="A135" s="109">
        <f>32*(A203-A103)/100+A103</f>
        <v>1.32</v>
      </c>
      <c r="B135" s="110">
        <f>Solver!$R$24 + A135 * Solver!$R$25 +A135^ 2 * Solver!$R$26+A135^ 3 * Solver!$R$27</f>
        <v>-1.5786366076221152</v>
      </c>
      <c r="C135" s="110">
        <f>Solver!$R$25+2*A135*Solver!$R$26+3*A135^2*Solver!$R$27</f>
        <v>1.2134805613066488</v>
      </c>
      <c r="D135" s="110">
        <f>2 * Solver!$R$26 + 6 *A135 * Solver!$R$27</f>
        <v>4.8884288014722799</v>
      </c>
      <c r="E135" s="110">
        <f>(2 * Solver!$R$26 + 6 *A135 * Solver!$R$27)*constants!$B$12</f>
        <v>1.0625</v>
      </c>
      <c r="F135" s="110">
        <f xml:space="preserve"> 6 *  Solver!$R$27 * constants!$B$12</f>
        <v>-1.5625000000000002</v>
      </c>
      <c r="G135" s="111">
        <f>IF(A135=Main!$E$6,F136-F135,IF(A135=Main!$G$6,F136-F135,IF(A135=Main!$C$6,F135,IF(A135=Main!$I$6,-F135,0))))</f>
        <v>0</v>
      </c>
    </row>
    <row r="136" spans="1:7" s="87" customFormat="1">
      <c r="A136" s="109">
        <f>33*(A203-A103)/100+A103</f>
        <v>1.33</v>
      </c>
      <c r="B136" s="110">
        <f>Solver!$R$24 + A136 * Solver!$R$25 +A136^ 2 * Solver!$R$26+A136^ 3 * Solver!$R$27</f>
        <v>-1.5662585787132888</v>
      </c>
      <c r="C136" s="110">
        <f>Solver!$R$25+2*A136*Solver!$R$26+3*A136^2*Solver!$R$27</f>
        <v>1.2620054060271464</v>
      </c>
      <c r="D136" s="110">
        <f>2 * Solver!$R$26 + 6 *A136 * Solver!$R$27</f>
        <v>4.8165401426270993</v>
      </c>
      <c r="E136" s="110">
        <f>(2 * Solver!$R$26 + 6 *A136 * Solver!$R$27)*constants!$B$12</f>
        <v>1.046875</v>
      </c>
      <c r="F136" s="110">
        <f xml:space="preserve"> 6 *  Solver!$R$27 * constants!$B$12</f>
        <v>-1.5625000000000002</v>
      </c>
      <c r="G136" s="111">
        <f>IF(A136=Main!$E$6,F137-F136,IF(A136=Main!$G$6,F137-F136,IF(A136=Main!$C$6,F136,IF(A136=Main!$I$6,-F136,0))))</f>
        <v>0</v>
      </c>
    </row>
    <row r="137" spans="1:7" s="87" customFormat="1">
      <c r="A137" s="109">
        <f>34*(A203-A103)/100+A103</f>
        <v>1.34</v>
      </c>
      <c r="B137" s="110">
        <f>Solver!$R$24 + A137 * Solver!$R$25 +A137^ 2 * Solver!$R$26+A137^ 3 * Solver!$R$27</f>
        <v>-1.553398895790199</v>
      </c>
      <c r="C137" s="110">
        <f>Solver!$R$25+2*A137*Solver!$R$26+3*A137^2*Solver!$R$27</f>
        <v>1.3098113641591898</v>
      </c>
      <c r="D137" s="110">
        <f>2 * Solver!$R$26 + 6 *A137 * Solver!$R$27</f>
        <v>4.7446514837819187</v>
      </c>
      <c r="E137" s="110">
        <f>(2 * Solver!$R$26 + 6 *A137 * Solver!$R$27)*constants!$B$12</f>
        <v>1.03125</v>
      </c>
      <c r="F137" s="110">
        <f xml:space="preserve"> 6 *  Solver!$R$27 * constants!$B$12</f>
        <v>-1.5625000000000002</v>
      </c>
      <c r="G137" s="111">
        <f>IF(A137=Main!$E$6,F138-F137,IF(A137=Main!$G$6,F138-F137,IF(A137=Main!$C$6,F137,IF(A137=Main!$I$6,-F137,0))))</f>
        <v>0</v>
      </c>
    </row>
    <row r="138" spans="1:7">
      <c r="A138" s="109">
        <f>7*(A203-A103)/20+A103</f>
        <v>1.35</v>
      </c>
      <c r="B138" s="110">
        <f>Solver!$R$24 + A138 * Solver!$R$25 +A138^ 2 * Solver!$R$26+A138^ 3 * Solver!$R$27</f>
        <v>-1.5400647477187324</v>
      </c>
      <c r="C138" s="110">
        <f>Solver!$R$25+2*A138*Solver!$R$26+3*A138^2*Solver!$R$27</f>
        <v>1.3568984357027833</v>
      </c>
      <c r="D138" s="110">
        <f>2 * Solver!$R$26 + 6 *A138 * Solver!$R$27</f>
        <v>4.6727628249367363</v>
      </c>
      <c r="E138" s="110">
        <f>(2 * Solver!$R$26 + 6 *A138 * Solver!$R$27)*constants!$B$12</f>
        <v>1.0156249999999996</v>
      </c>
      <c r="F138" s="110">
        <f xml:space="preserve"> 6 *  Solver!$R$27 * constants!$B$12</f>
        <v>-1.5625000000000002</v>
      </c>
      <c r="G138" s="111">
        <f>IF(A138=Main!$E$6,F139-F138,IF(A138=Main!$G$6,F139-F138,IF(A138=Main!$C$6,F138,IF(A138=Main!$I$6,-F138,0))))</f>
        <v>0</v>
      </c>
    </row>
    <row r="139" spans="1:7" s="87" customFormat="1">
      <c r="A139" s="109">
        <f>36*(A203-A103)/100+A103</f>
        <v>1.3599999999999999</v>
      </c>
      <c r="B139" s="110">
        <f>Solver!$R$24 + A139 * Solver!$R$25 +A139^ 2 * Solver!$R$26+A139^ 3 * Solver!$R$27</f>
        <v>-1.5262633233647738</v>
      </c>
      <c r="C139" s="110">
        <f>Solver!$R$25+2*A139*Solver!$R$26+3*A139^2*Solver!$R$27</f>
        <v>1.4032666206579236</v>
      </c>
      <c r="D139" s="110">
        <f>2 * Solver!$R$26 + 6 *A139 * Solver!$R$27</f>
        <v>4.6008741660915575</v>
      </c>
      <c r="E139" s="110">
        <f>(2 * Solver!$R$26 + 6 *A139 * Solver!$R$27)*constants!$B$12</f>
        <v>1</v>
      </c>
      <c r="F139" s="110">
        <f xml:space="preserve"> 6 *  Solver!$R$27 * constants!$B$12</f>
        <v>-1.5625000000000002</v>
      </c>
      <c r="G139" s="111">
        <f>IF(A139=Main!$E$6,F140-F139,IF(A139=Main!$G$6,F140-F139,IF(A139=Main!$C$6,F139,IF(A139=Main!$I$6,-F139,0))))</f>
        <v>0</v>
      </c>
    </row>
    <row r="140" spans="1:7" s="87" customFormat="1">
      <c r="A140" s="109">
        <f>37*(A203-A103)/100+A103</f>
        <v>1.37</v>
      </c>
      <c r="B140" s="110">
        <f>Solver!$R$24 + A140 * Solver!$R$25 +A140^ 2 * Solver!$R$26+A140^ 3 * Solver!$R$27</f>
        <v>-1.5120018115942035</v>
      </c>
      <c r="C140" s="110">
        <f>Solver!$R$25+2*A140*Solver!$R$26+3*A140^2*Solver!$R$27</f>
        <v>1.4489159190246141</v>
      </c>
      <c r="D140" s="110">
        <f>2 * Solver!$R$26 + 6 *A140 * Solver!$R$27</f>
        <v>4.5289855072463769</v>
      </c>
      <c r="E140" s="110">
        <f>(2 * Solver!$R$26 + 6 *A140 * Solver!$R$27)*constants!$B$12</f>
        <v>0.984375</v>
      </c>
      <c r="F140" s="110">
        <f xml:space="preserve"> 6 *  Solver!$R$27 * constants!$B$12</f>
        <v>-1.5625000000000002</v>
      </c>
      <c r="G140" s="111">
        <f>IF(A140=Main!$E$6,F141-F140,IF(A140=Main!$G$6,F141-F140,IF(A140=Main!$C$6,F140,IF(A140=Main!$I$6,-F140,0))))</f>
        <v>0</v>
      </c>
    </row>
    <row r="141" spans="1:7" s="87" customFormat="1">
      <c r="A141" s="109">
        <f>38*(A203-A103)/100+A103</f>
        <v>1.38</v>
      </c>
      <c r="B141" s="110">
        <f>Solver!$R$24 + A141 * Solver!$R$25 +A141^ 2 * Solver!$R$26+A141^ 3 * Solver!$R$27</f>
        <v>-1.49728740127291</v>
      </c>
      <c r="C141" s="110">
        <f>Solver!$R$25+2*A141*Solver!$R$26+3*A141^2*Solver!$R$27</f>
        <v>1.4938463308028513</v>
      </c>
      <c r="D141" s="110">
        <f>2 * Solver!$R$26 + 6 *A141 * Solver!$R$27</f>
        <v>4.4570968484011981</v>
      </c>
      <c r="E141" s="110">
        <f>(2 * Solver!$R$26 + 6 *A141 * Solver!$R$27)*constants!$B$12</f>
        <v>0.96875000000000033</v>
      </c>
      <c r="F141" s="110">
        <f xml:space="preserve"> 6 *  Solver!$R$27 * constants!$B$12</f>
        <v>-1.5625000000000002</v>
      </c>
      <c r="G141" s="111">
        <f>IF(A141=Main!$E$6,F142-F141,IF(A141=Main!$G$6,F142-F141,IF(A141=Main!$C$6,F141,IF(A141=Main!$I$6,-F141,0))))</f>
        <v>0</v>
      </c>
    </row>
    <row r="142" spans="1:7" s="87" customFormat="1">
      <c r="A142" s="109">
        <f>39*(A203-A103)/100+A103</f>
        <v>1.3900000000000001</v>
      </c>
      <c r="B142" s="110">
        <f>Solver!$R$24 + A142 * Solver!$R$25 +A142^ 2 * Solver!$R$26+A142^ 3 * Solver!$R$27</f>
        <v>-1.4821272812667727</v>
      </c>
      <c r="C142" s="110">
        <f>Solver!$R$25+2*A142*Solver!$R$26+3*A142^2*Solver!$R$27</f>
        <v>1.5380578559926379</v>
      </c>
      <c r="D142" s="110">
        <f>2 * Solver!$R$26 + 6 *A142 * Solver!$R$27</f>
        <v>4.3852081895560158</v>
      </c>
      <c r="E142" s="110">
        <f>(2 * Solver!$R$26 + 6 *A142 * Solver!$R$27)*constants!$B$12</f>
        <v>0.953125</v>
      </c>
      <c r="F142" s="110">
        <f xml:space="preserve"> 6 *  Solver!$R$27 * constants!$B$12</f>
        <v>-1.5625000000000002</v>
      </c>
      <c r="G142" s="111">
        <f>IF(A142=Main!$E$6,F143-F142,IF(A142=Main!$G$6,F143-F142,IF(A142=Main!$C$6,F142,IF(A142=Main!$I$6,-F142,0))))</f>
        <v>0</v>
      </c>
    </row>
    <row r="143" spans="1:7">
      <c r="A143" s="109">
        <f>8*(A203-A103)/20+A103</f>
        <v>1.4</v>
      </c>
      <c r="B143" s="110">
        <f>Solver!$R$24 + A143 * Solver!$R$25 +A143^ 2 * Solver!$R$26+A143^ 3 * Solver!$R$27</f>
        <v>-1.4665286404416822</v>
      </c>
      <c r="C143" s="110">
        <f>Solver!$R$25+2*A143*Solver!$R$26+3*A143^2*Solver!$R$27</f>
        <v>1.5815504945939711</v>
      </c>
      <c r="D143" s="110">
        <f>2 * Solver!$R$26 + 6 *A143 * Solver!$R$27</f>
        <v>4.313319530710837</v>
      </c>
      <c r="E143" s="110">
        <f>(2 * Solver!$R$26 + 6 *A143 * Solver!$R$27)*constants!$B$12</f>
        <v>0.93750000000000033</v>
      </c>
      <c r="F143" s="110">
        <f xml:space="preserve"> 6 *  Solver!$R$27 * constants!$B$12</f>
        <v>-1.5625000000000002</v>
      </c>
      <c r="G143" s="111">
        <f>IF(A143=Main!$E$6,F144-F143,IF(A143=Main!$G$6,F144-F143,IF(A143=Main!$C$6,F143,IF(A143=Main!$I$6,-F143,0))))</f>
        <v>0</v>
      </c>
    </row>
    <row r="144" spans="1:7" s="87" customFormat="1">
      <c r="A144" s="109">
        <f>41*(A203-A103)/100+A103</f>
        <v>1.41</v>
      </c>
      <c r="B144" s="110">
        <f>Solver!$R$24 + A144 * Solver!$R$25 +A144^ 2 * Solver!$R$26+A144^ 3 * Solver!$R$27</f>
        <v>-1.4504986676635214</v>
      </c>
      <c r="C144" s="110">
        <f>Solver!$R$25+2*A144*Solver!$R$26+3*A144^2*Solver!$R$27</f>
        <v>1.6243242466068528</v>
      </c>
      <c r="D144" s="110">
        <f>2 * Solver!$R$26 + 6 *A144 * Solver!$R$27</f>
        <v>4.2414308718656564</v>
      </c>
      <c r="E144" s="110">
        <f>(2 * Solver!$R$26 + 6 *A144 * Solver!$R$27)*constants!$B$12</f>
        <v>0.92187500000000033</v>
      </c>
      <c r="F144" s="110">
        <f xml:space="preserve"> 6 *  Solver!$R$27 * constants!$B$12</f>
        <v>-1.5625000000000002</v>
      </c>
      <c r="G144" s="111">
        <f>IF(A144=Main!$E$6,F145-F144,IF(A144=Main!$G$6,F145-F144,IF(A144=Main!$C$6,F144,IF(A144=Main!$I$6,-F144,0))))</f>
        <v>0</v>
      </c>
    </row>
    <row r="145" spans="1:7" s="87" customFormat="1">
      <c r="A145" s="109">
        <f>42*(A203-A103)/100+A103</f>
        <v>1.42</v>
      </c>
      <c r="B145" s="110">
        <f>Solver!$R$24 + A145 * Solver!$R$25 +A145^ 2 * Solver!$R$26+A145^ 3 * Solver!$R$27</f>
        <v>-1.4340445517981735</v>
      </c>
      <c r="C145" s="110">
        <f>Solver!$R$25+2*A145*Solver!$R$26+3*A145^2*Solver!$R$27</f>
        <v>1.6663791120312839</v>
      </c>
      <c r="D145" s="110">
        <f>2 * Solver!$R$26 + 6 *A145 * Solver!$R$27</f>
        <v>4.1695422130204758</v>
      </c>
      <c r="E145" s="110">
        <f>(2 * Solver!$R$26 + 6 *A145 * Solver!$R$27)*constants!$B$12</f>
        <v>0.90625000000000033</v>
      </c>
      <c r="F145" s="110">
        <f xml:space="preserve"> 6 *  Solver!$R$27 * constants!$B$12</f>
        <v>-1.5625000000000002</v>
      </c>
      <c r="G145" s="111">
        <f>IF(A145=Main!$E$6,F146-F145,IF(A145=Main!$G$6,F146-F145,IF(A145=Main!$C$6,F145,IF(A145=Main!$I$6,-F145,0))))</f>
        <v>0</v>
      </c>
    </row>
    <row r="146" spans="1:7" s="87" customFormat="1">
      <c r="A146" s="109">
        <f>43*(A203-A103)/100+A103</f>
        <v>1.43</v>
      </c>
      <c r="B146" s="110">
        <f>Solver!$R$24 + A146 * Solver!$R$25 +A146^ 2 * Solver!$R$26+A146^ 3 * Solver!$R$27</f>
        <v>-1.417173481711528</v>
      </c>
      <c r="C146" s="110">
        <f>Solver!$R$25+2*A146*Solver!$R$26+3*A146^2*Solver!$R$27</f>
        <v>1.7077150908672634</v>
      </c>
      <c r="D146" s="110">
        <f>2 * Solver!$R$26 + 6 *A146 * Solver!$R$27</f>
        <v>4.0976535541752934</v>
      </c>
      <c r="E146" s="110">
        <f>(2 * Solver!$R$26 + 6 *A146 * Solver!$R$27)*constants!$B$12</f>
        <v>0.890625</v>
      </c>
      <c r="F146" s="110">
        <f xml:space="preserve"> 6 *  Solver!$R$27 * constants!$B$12</f>
        <v>-1.5625000000000002</v>
      </c>
      <c r="G146" s="111">
        <f>IF(A146=Main!$E$6,F147-F146,IF(A146=Main!$G$6,F147-F146,IF(A146=Main!$C$6,F146,IF(A146=Main!$I$6,-F146,0))))</f>
        <v>0</v>
      </c>
    </row>
    <row r="147" spans="1:7" s="87" customFormat="1">
      <c r="A147" s="109">
        <f>44*(A203-A103)/100+A103</f>
        <v>1.44</v>
      </c>
      <c r="B147" s="110">
        <f>Solver!$R$24 + A147 * Solver!$R$25 +A147^ 2 * Solver!$R$26+A147^ 3 * Solver!$R$27</f>
        <v>-1.3998926462694592</v>
      </c>
      <c r="C147" s="110">
        <f>Solver!$R$25+2*A147*Solver!$R$26+3*A147^2*Solver!$R$27</f>
        <v>1.7483321831147931</v>
      </c>
      <c r="D147" s="110">
        <f>2 * Solver!$R$26 + 6 *A147 * Solver!$R$27</f>
        <v>4.0257648953301128</v>
      </c>
      <c r="E147" s="110">
        <f>(2 * Solver!$R$26 + 6 *A147 * Solver!$R$27)*constants!$B$12</f>
        <v>0.875</v>
      </c>
      <c r="F147" s="110">
        <f xml:space="preserve"> 6 *  Solver!$R$27 * constants!$B$12</f>
        <v>-1.5625000000000002</v>
      </c>
      <c r="G147" s="111">
        <f>IF(A147=Main!$E$6,F148-F147,IF(A147=Main!$G$6,F148-F147,IF(A147=Main!$C$6,F147,IF(A147=Main!$I$6,-F147,0))))</f>
        <v>0</v>
      </c>
    </row>
    <row r="148" spans="1:7">
      <c r="A148" s="109">
        <f>45*(A203-A103)/100+A103</f>
        <v>1.45</v>
      </c>
      <c r="B148" s="110">
        <f>Solver!$R$24 + A148 * Solver!$R$25 +A148^ 2 * Solver!$R$26+A148^ 3 * Solver!$R$27</f>
        <v>-1.382209234337858</v>
      </c>
      <c r="C148" s="110">
        <f>Solver!$R$25+2*A148*Solver!$R$26+3*A148^2*Solver!$R$27</f>
        <v>1.7882303887738678</v>
      </c>
      <c r="D148" s="110">
        <f>2 * Solver!$R$26 + 6 *A148 * Solver!$R$27</f>
        <v>3.953876236484934</v>
      </c>
      <c r="E148" s="110">
        <f>(2 * Solver!$R$26 + 6 *A148 * Solver!$R$27)*constants!$B$12</f>
        <v>0.85937500000000033</v>
      </c>
      <c r="F148" s="110">
        <f xml:space="preserve"> 6 *  Solver!$R$27 * constants!$B$12</f>
        <v>-1.5625000000000002</v>
      </c>
      <c r="G148" s="111">
        <f>IF(A148=Main!$E$6,F149-F148,IF(A148=Main!$G$6,F149-F148,IF(A148=Main!$C$6,F148,IF(A148=Main!$I$6,-F148,0))))</f>
        <v>0</v>
      </c>
    </row>
    <row r="149" spans="1:7" s="87" customFormat="1">
      <c r="A149" s="109">
        <f>46*(A203-A103)/100+A103</f>
        <v>1.46</v>
      </c>
      <c r="B149" s="110">
        <f>Solver!$R$24 + A149 * Solver!$R$25 +A149^ 2 * Solver!$R$26+A149^ 3 * Solver!$R$27</f>
        <v>-1.364130434782612</v>
      </c>
      <c r="C149" s="110">
        <f>Solver!$R$25+2*A149*Solver!$R$26+3*A149^2*Solver!$R$27</f>
        <v>1.8274097078444926</v>
      </c>
      <c r="D149" s="110">
        <f>2 * Solver!$R$26 + 6 *A149 * Solver!$R$27</f>
        <v>3.8819875776397517</v>
      </c>
      <c r="E149" s="110">
        <f>(2 * Solver!$R$26 + 6 *A149 * Solver!$R$27)*constants!$B$12</f>
        <v>0.84375</v>
      </c>
      <c r="F149" s="110">
        <f xml:space="preserve"> 6 *  Solver!$R$27 * constants!$B$12</f>
        <v>-1.5625000000000002</v>
      </c>
      <c r="G149" s="111">
        <f>IF(A149=Main!$E$6,F150-F149,IF(A149=Main!$G$6,F150-F149,IF(A149=Main!$C$6,F149,IF(A149=Main!$I$6,-F149,0))))</f>
        <v>0</v>
      </c>
    </row>
    <row r="150" spans="1:7" s="87" customFormat="1">
      <c r="A150" s="109">
        <f>47*(A203-A103)/100+A103</f>
        <v>1.47</v>
      </c>
      <c r="B150" s="110">
        <f>Solver!$R$24 + A150 * Solver!$R$25 +A150^ 2 * Solver!$R$26+A150^ 3 * Solver!$R$27</f>
        <v>-1.345663436469597</v>
      </c>
      <c r="C150" s="110">
        <f>Solver!$R$25+2*A150*Solver!$R$26+3*A150^2*Solver!$R$27</f>
        <v>1.8658701403266633</v>
      </c>
      <c r="D150" s="110">
        <f>2 * Solver!$R$26 + 6 *A150 * Solver!$R$27</f>
        <v>3.8100989187945711</v>
      </c>
      <c r="E150" s="110">
        <f>(2 * Solver!$R$26 + 6 *A150 * Solver!$R$27)*constants!$B$12</f>
        <v>0.828125</v>
      </c>
      <c r="F150" s="110">
        <f xml:space="preserve"> 6 *  Solver!$R$27 * constants!$B$12</f>
        <v>-1.5625000000000002</v>
      </c>
      <c r="G150" s="111">
        <f>IF(A150=Main!$E$6,F151-F150,IF(A150=Main!$G$6,F151-F150,IF(A150=Main!$C$6,F150,IF(A150=Main!$I$6,-F150,0))))</f>
        <v>0</v>
      </c>
    </row>
    <row r="151" spans="1:7" s="87" customFormat="1">
      <c r="A151" s="109">
        <f>48*(A203-A103)/100+A103</f>
        <v>1.48</v>
      </c>
      <c r="B151" s="110">
        <f>Solver!$R$24 + A151 * Solver!$R$25 +A151^ 2 * Solver!$R$26+A151^ 3 * Solver!$R$27</f>
        <v>-1.3268154282647053</v>
      </c>
      <c r="C151" s="110">
        <f>Solver!$R$25+2*A151*Solver!$R$26+3*A151^2*Solver!$R$27</f>
        <v>1.9036116862203833</v>
      </c>
      <c r="D151" s="110">
        <f>2 * Solver!$R$26 + 6 *A151 * Solver!$R$27</f>
        <v>3.7382102599493923</v>
      </c>
      <c r="E151" s="110">
        <f>(2 * Solver!$R$26 + 6 *A151 * Solver!$R$27)*constants!$B$12</f>
        <v>0.81250000000000033</v>
      </c>
      <c r="F151" s="110">
        <f xml:space="preserve"> 6 *  Solver!$R$27 * constants!$B$12</f>
        <v>-1.5625000000000002</v>
      </c>
      <c r="G151" s="111">
        <f>IF(A151=Main!$E$6,F152-F151,IF(A151=Main!$G$6,F152-F151,IF(A151=Main!$C$6,F151,IF(A151=Main!$I$6,-F151,0))))</f>
        <v>0</v>
      </c>
    </row>
    <row r="152" spans="1:7" s="87" customFormat="1">
      <c r="A152" s="109">
        <f>49*(A203-A103)/100+A103</f>
        <v>1.49</v>
      </c>
      <c r="B152" s="110">
        <f>Solver!$R$24 + A152 * Solver!$R$25 +A152^ 2 * Solver!$R$26+A152^ 3 * Solver!$R$27</f>
        <v>-1.3075935990338174</v>
      </c>
      <c r="C152" s="110">
        <f>Solver!$R$25+2*A152*Solver!$R$26+3*A152^2*Solver!$R$27</f>
        <v>1.940634345525651</v>
      </c>
      <c r="D152" s="110">
        <f>2 * Solver!$R$26 + 6 *A152 * Solver!$R$27</f>
        <v>3.6663216011042117</v>
      </c>
      <c r="E152" s="110">
        <f>(2 * Solver!$R$26 + 6 *A152 * Solver!$R$27)*constants!$B$12</f>
        <v>0.79687500000000033</v>
      </c>
      <c r="F152" s="110">
        <f xml:space="preserve"> 6 *  Solver!$R$27 * constants!$B$12</f>
        <v>-1.5625000000000002</v>
      </c>
      <c r="G152" s="111">
        <f>IF(A152=Main!$E$6,F153-F152,IF(A152=Main!$G$6,F153-F152,IF(A152=Main!$C$6,F152,IF(A152=Main!$I$6,-F152,0))))</f>
        <v>0</v>
      </c>
    </row>
    <row r="153" spans="1:7">
      <c r="A153" s="109">
        <f>(A203-A103)/2+A103</f>
        <v>1.5</v>
      </c>
      <c r="B153" s="110">
        <f>Solver!$R$24 + A153 * Solver!$R$25 +A153^ 2 * Solver!$R$26+A153^ 3 * Solver!$R$27</f>
        <v>-1.2880051376428199</v>
      </c>
      <c r="C153" s="110">
        <f>Solver!$R$25+2*A153*Solver!$R$26+3*A153^2*Solver!$R$27</f>
        <v>1.976938118242467</v>
      </c>
      <c r="D153" s="110">
        <f>2 * Solver!$R$26 + 6 *A153 * Solver!$R$27</f>
        <v>3.5944329422590293</v>
      </c>
      <c r="E153" s="110">
        <f>(2 * Solver!$R$26 + 6 *A153 * Solver!$R$27)*constants!$B$12</f>
        <v>0.78125</v>
      </c>
      <c r="F153" s="110">
        <f xml:space="preserve"> 6 *  Solver!$R$27 * constants!$B$12</f>
        <v>-1.5625000000000002</v>
      </c>
      <c r="G153" s="111">
        <f>IF(A153=Main!$E$6,F154-F153,IF(A153=Main!$G$6,F154-F153,IF(A153=Main!$C$6,F153,IF(A153=Main!$I$6,-F153,0))))</f>
        <v>0</v>
      </c>
    </row>
    <row r="154" spans="1:7" s="87" customFormat="1">
      <c r="A154" s="109">
        <f>51*(A203-A103)/100+A103</f>
        <v>1.51</v>
      </c>
      <c r="B154" s="110">
        <f>Solver!$R$24 + A154 * Solver!$R$25 +A154^ 2 * Solver!$R$26+A154^ 3 * Solver!$R$27</f>
        <v>-1.2680572329575943</v>
      </c>
      <c r="C154" s="110">
        <f>Solver!$R$25+2*A154*Solver!$R$26+3*A154^2*Solver!$R$27</f>
        <v>2.0125230043708306</v>
      </c>
      <c r="D154" s="110">
        <f>2 * Solver!$R$26 + 6 *A154 * Solver!$R$27</f>
        <v>3.5225442834138487</v>
      </c>
      <c r="E154" s="110">
        <f>(2 * Solver!$R$26 + 6 *A154 * Solver!$R$27)*constants!$B$12</f>
        <v>0.765625</v>
      </c>
      <c r="F154" s="110">
        <f xml:space="preserve"> 6 *  Solver!$R$27 * constants!$B$12</f>
        <v>-1.5625000000000002</v>
      </c>
      <c r="G154" s="111">
        <f>IF(A154=Main!$E$6,F155-F154,IF(A154=Main!$G$6,F155-F154,IF(A154=Main!$C$6,F154,IF(A154=Main!$I$6,-F154,0))))</f>
        <v>0</v>
      </c>
    </row>
    <row r="155" spans="1:7" s="87" customFormat="1">
      <c r="A155" s="109">
        <f>52*(A203-A103)/100+A103</f>
        <v>1.52</v>
      </c>
      <c r="B155" s="110">
        <f>Solver!$R$24 + A155 * Solver!$R$25 +A155^ 2 * Solver!$R$26+A155^ 3 * Solver!$R$27</f>
        <v>-1.2477570738440331</v>
      </c>
      <c r="C155" s="110">
        <f>Solver!$R$25+2*A155*Solver!$R$26+3*A155^2*Solver!$R$27</f>
        <v>2.0473890039107427</v>
      </c>
      <c r="D155" s="110">
        <f>2 * Solver!$R$26 + 6 *A155 * Solver!$R$27</f>
        <v>3.4506556245686681</v>
      </c>
      <c r="E155" s="110">
        <f>(2 * Solver!$R$26 + 6 *A155 * Solver!$R$27)*constants!$B$12</f>
        <v>0.75</v>
      </c>
      <c r="F155" s="110">
        <f xml:space="preserve"> 6 *  Solver!$R$27 * constants!$B$12</f>
        <v>-1.5625000000000002</v>
      </c>
      <c r="G155" s="111">
        <f>IF(A155=Main!$E$6,F156-F155,IF(A155=Main!$G$6,F156-F155,IF(A155=Main!$C$6,F155,IF(A155=Main!$I$6,-F155,0))))</f>
        <v>0</v>
      </c>
    </row>
    <row r="156" spans="1:7" s="87" customFormat="1">
      <c r="A156" s="109">
        <f>53*(A203-A103)/100+A103</f>
        <v>1.53</v>
      </c>
      <c r="B156" s="110">
        <f>Solver!$R$24 + A156 * Solver!$R$25 +A156^ 2 * Solver!$R$26+A156^ 3 * Solver!$R$27</f>
        <v>-1.2271118491680104</v>
      </c>
      <c r="C156" s="110">
        <f>Solver!$R$25+2*A156*Solver!$R$26+3*A156^2*Solver!$R$27</f>
        <v>2.0815361168622033</v>
      </c>
      <c r="D156" s="110">
        <f>2 * Solver!$R$26 + 6 *A156 * Solver!$R$27</f>
        <v>3.3787669657234876</v>
      </c>
      <c r="E156" s="110">
        <f>(2 * Solver!$R$26 + 6 *A156 * Solver!$R$27)*constants!$B$12</f>
        <v>0.734375</v>
      </c>
      <c r="F156" s="110">
        <f xml:space="preserve"> 6 *  Solver!$R$27 * constants!$B$12</f>
        <v>-1.5625000000000002</v>
      </c>
      <c r="G156" s="111">
        <f>IF(A156=Main!$E$6,F157-F156,IF(A156=Main!$G$6,F157-F156,IF(A156=Main!$C$6,F156,IF(A156=Main!$I$6,-F156,0))))</f>
        <v>0</v>
      </c>
    </row>
    <row r="157" spans="1:7" s="87" customFormat="1">
      <c r="A157" s="109">
        <f>54*(A203-A103)/100+A103</f>
        <v>1.54</v>
      </c>
      <c r="B157" s="110">
        <f>Solver!$R$24 + A157 * Solver!$R$25 +A157^ 2 * Solver!$R$26+A157^ 3 * Solver!$R$27</f>
        <v>-1.2061287477954163</v>
      </c>
      <c r="C157" s="110">
        <f>Solver!$R$25+2*A157*Solver!$R$26+3*A157^2*Solver!$R$27</f>
        <v>2.1149643432252141</v>
      </c>
      <c r="D157" s="110">
        <f>2 * Solver!$R$26 + 6 *A157 * Solver!$R$27</f>
        <v>3.306878306878307</v>
      </c>
      <c r="E157" s="110">
        <f>(2 * Solver!$R$26 + 6 *A157 * Solver!$R$27)*constants!$B$12</f>
        <v>0.71875</v>
      </c>
      <c r="F157" s="110">
        <f xml:space="preserve"> 6 *  Solver!$R$27 * constants!$B$12</f>
        <v>-1.5625000000000002</v>
      </c>
      <c r="G157" s="111">
        <f>IF(A157=Main!$E$6,F158-F157,IF(A157=Main!$G$6,F158-F157,IF(A157=Main!$C$6,F157,IF(A157=Main!$I$6,-F157,0))))</f>
        <v>0</v>
      </c>
    </row>
    <row r="158" spans="1:7">
      <c r="A158" s="109">
        <f>11*(A203-A103)/20+A103</f>
        <v>1.55</v>
      </c>
      <c r="B158" s="110">
        <f>Solver!$R$24 + A158 * Solver!$R$25 +A158^ 2 * Solver!$R$26+A158^ 3 * Solver!$R$27</f>
        <v>-1.1848149585921322</v>
      </c>
      <c r="C158" s="110">
        <f>Solver!$R$25+2*A158*Solver!$R$26+3*A158^2*Solver!$R$27</f>
        <v>2.1476736829997698</v>
      </c>
      <c r="D158" s="110">
        <f>2 * Solver!$R$26 + 6 *A158 * Solver!$R$27</f>
        <v>3.2349896480331264</v>
      </c>
      <c r="E158" s="110">
        <f>(2 * Solver!$R$26 + 6 *A158 * Solver!$R$27)*constants!$B$12</f>
        <v>0.703125</v>
      </c>
      <c r="F158" s="110">
        <f xml:space="preserve"> 6 *  Solver!$R$27 * constants!$B$12</f>
        <v>-1.5625000000000002</v>
      </c>
      <c r="G158" s="111">
        <f>IF(A158=Main!$E$6,F159-F158,IF(A158=Main!$G$6,F159-F158,IF(A158=Main!$C$6,F158,IF(A158=Main!$I$6,-F158,0))))</f>
        <v>0</v>
      </c>
    </row>
    <row r="159" spans="1:7" s="87" customFormat="1">
      <c r="A159" s="109">
        <f>56*(A203-A103)/100+A103</f>
        <v>1.56</v>
      </c>
      <c r="B159" s="110">
        <f>Solver!$R$24 + A159 * Solver!$R$25 +A159^ 2 * Solver!$R$26+A159^ 3 * Solver!$R$27</f>
        <v>-1.163177670424048</v>
      </c>
      <c r="C159" s="110">
        <f>Solver!$R$25+2*A159*Solver!$R$26+3*A159^2*Solver!$R$27</f>
        <v>2.1796641361858757</v>
      </c>
      <c r="D159" s="110">
        <f>2 * Solver!$R$26 + 6 *A159 * Solver!$R$27</f>
        <v>3.1631009891879476</v>
      </c>
      <c r="E159" s="110">
        <f>(2 * Solver!$R$26 + 6 *A159 * Solver!$R$27)*constants!$B$12</f>
        <v>0.68750000000000033</v>
      </c>
      <c r="F159" s="110">
        <f xml:space="preserve"> 6 *  Solver!$R$27 * constants!$B$12</f>
        <v>-1.5625000000000002</v>
      </c>
      <c r="G159" s="111">
        <f>IF(A159=Main!$E$6,F160-F159,IF(A159=Main!$G$6,F160-F159,IF(A159=Main!$C$6,F159,IF(A159=Main!$I$6,-F159,0))))</f>
        <v>0</v>
      </c>
    </row>
    <row r="160" spans="1:7" s="87" customFormat="1">
      <c r="A160" s="109">
        <f>57*(A203-A103)/100+A103</f>
        <v>1.5699999999999998</v>
      </c>
      <c r="B160" s="110">
        <f>Solver!$R$24 + A160 * Solver!$R$25 +A160^ 2 * Solver!$R$26+A160^ 3 * Solver!$R$27</f>
        <v>-1.1412240721570406</v>
      </c>
      <c r="C160" s="110">
        <f>Solver!$R$25+2*A160*Solver!$R$26+3*A160^2*Solver!$R$27</f>
        <v>2.2109357027835284</v>
      </c>
      <c r="D160" s="110">
        <f>2 * Solver!$R$26 + 6 *A160 * Solver!$R$27</f>
        <v>3.091212330342767</v>
      </c>
      <c r="E160" s="110">
        <f>(2 * Solver!$R$26 + 6 *A160 * Solver!$R$27)*constants!$B$12</f>
        <v>0.67187500000000033</v>
      </c>
      <c r="F160" s="110">
        <f xml:space="preserve"> 6 *  Solver!$R$27 * constants!$B$12</f>
        <v>-1.5625000000000002</v>
      </c>
      <c r="G160" s="111">
        <f>IF(A160=Main!$E$6,F161-F160,IF(A160=Main!$G$6,F161-F160,IF(A160=Main!$C$6,F160,IF(A160=Main!$I$6,-F160,0))))</f>
        <v>0</v>
      </c>
    </row>
    <row r="161" spans="1:7" s="87" customFormat="1">
      <c r="A161" s="109">
        <f>58*(A203-A103)/100+A103</f>
        <v>1.58</v>
      </c>
      <c r="B161" s="110">
        <f>Solver!$R$24 + A161 * Solver!$R$25 +A161^ 2 * Solver!$R$26+A161^ 3 * Solver!$R$27</f>
        <v>-1.1189613526570028</v>
      </c>
      <c r="C161" s="110">
        <f>Solver!$R$25+2*A161*Solver!$R$26+3*A161^2*Solver!$R$27</f>
        <v>2.2414883827927294</v>
      </c>
      <c r="D161" s="110">
        <f>2 * Solver!$R$26 + 6 *A161 * Solver!$R$27</f>
        <v>3.0193236714975846</v>
      </c>
      <c r="E161" s="110">
        <f>(2 * Solver!$R$26 + 6 *A161 * Solver!$R$27)*constants!$B$12</f>
        <v>0.65625</v>
      </c>
      <c r="F161" s="110">
        <f xml:space="preserve"> 6 *  Solver!$R$27 * constants!$B$12</f>
        <v>-1.5625000000000002</v>
      </c>
      <c r="G161" s="111">
        <f>IF(A161=Main!$E$6,F162-F161,IF(A161=Main!$G$6,F162-F161,IF(A161=Main!$C$6,F161,IF(A161=Main!$I$6,-F161,0))))</f>
        <v>0</v>
      </c>
    </row>
    <row r="162" spans="1:7" s="87" customFormat="1">
      <c r="A162" s="109">
        <f>59*(A203-A103)/100+A103</f>
        <v>1.5899999999999999</v>
      </c>
      <c r="B162" s="110">
        <f>Solver!$R$24 + A162 * Solver!$R$25 +A162^ 2 * Solver!$R$26+A162^ 3 * Solver!$R$27</f>
        <v>-1.0963967007898177</v>
      </c>
      <c r="C162" s="110">
        <f>Solver!$R$25+2*A162*Solver!$R$26+3*A162^2*Solver!$R$27</f>
        <v>2.2713221762134808</v>
      </c>
      <c r="D162" s="110">
        <f>2 * Solver!$R$26 + 6 *A162 * Solver!$R$27</f>
        <v>2.9474350126524058</v>
      </c>
      <c r="E162" s="110">
        <f>(2 * Solver!$R$26 + 6 *A162 * Solver!$R$27)*constants!$B$12</f>
        <v>0.64062500000000033</v>
      </c>
      <c r="F162" s="110">
        <f xml:space="preserve"> 6 *  Solver!$R$27 * constants!$B$12</f>
        <v>-1.5625000000000002</v>
      </c>
      <c r="G162" s="111">
        <f>IF(A162=Main!$E$6,F163-F162,IF(A162=Main!$G$6,F163-F162,IF(A162=Main!$C$6,F162,IF(A162=Main!$I$6,-F162,0))))</f>
        <v>0</v>
      </c>
    </row>
    <row r="163" spans="1:7">
      <c r="A163" s="109">
        <f>12*(A203-A103)/20+A103</f>
        <v>1.6</v>
      </c>
      <c r="B163" s="110">
        <f>Solver!$R$24 + A163 * Solver!$R$25 +A163^ 2 * Solver!$R$26+A163^ 3 * Solver!$R$27</f>
        <v>-1.0735373054213602</v>
      </c>
      <c r="C163" s="110">
        <f>Solver!$R$25+2*A163*Solver!$R$26+3*A163^2*Solver!$R$27</f>
        <v>2.300437083045777</v>
      </c>
      <c r="D163" s="110">
        <f>2 * Solver!$R$26 + 6 *A163 * Solver!$R$27</f>
        <v>2.8755463538072217</v>
      </c>
      <c r="E163" s="110">
        <f>(2 * Solver!$R$26 + 6 *A163 * Solver!$R$27)*constants!$B$12</f>
        <v>0.62499999999999956</v>
      </c>
      <c r="F163" s="110">
        <f xml:space="preserve"> 6 *  Solver!$R$27 * constants!$B$12</f>
        <v>-1.5625000000000002</v>
      </c>
      <c r="G163" s="111">
        <f>IF(A163=Main!$E$6,F164-F163,IF(A163=Main!$G$6,F164-F163,IF(A163=Main!$C$6,F163,IF(A163=Main!$I$6,-F163,0))))</f>
        <v>0</v>
      </c>
    </row>
    <row r="164" spans="1:7" s="87" customFormat="1">
      <c r="A164" s="109">
        <f>61*(A203-A103)/100+A103</f>
        <v>1.6099999999999999</v>
      </c>
      <c r="B164" s="110">
        <f>Solver!$R$24 + A164 * Solver!$R$25 +A164^ 2 * Solver!$R$26+A164^ 3 * Solver!$R$27</f>
        <v>-1.0503903554175276</v>
      </c>
      <c r="C164" s="110">
        <f>Solver!$R$25+2*A164*Solver!$R$26+3*A164^2*Solver!$R$27</f>
        <v>2.3288331032896235</v>
      </c>
      <c r="D164" s="110">
        <f>2 * Solver!$R$26 + 6 *A164 * Solver!$R$27</f>
        <v>2.8036576949620429</v>
      </c>
      <c r="E164" s="110">
        <f>(2 * Solver!$R$26 + 6 *A164 * Solver!$R$27)*constants!$B$12</f>
        <v>0.609375</v>
      </c>
      <c r="F164" s="110">
        <f xml:space="preserve"> 6 *  Solver!$R$27 * constants!$B$12</f>
        <v>-1.5625000000000002</v>
      </c>
      <c r="G164" s="111">
        <f>IF(A164=Main!$E$6,F165-F164,IF(A164=Main!$G$6,F165-F164,IF(A164=Main!$C$6,F164,IF(A164=Main!$I$6,-F164,0))))</f>
        <v>0</v>
      </c>
    </row>
    <row r="165" spans="1:7" s="87" customFormat="1">
      <c r="A165" s="109">
        <f>62*(A203-A103)/100+A103</f>
        <v>1.62</v>
      </c>
      <c r="B165" s="110">
        <f>Solver!$R$24 + A165 * Solver!$R$25 +A165^ 2 * Solver!$R$26+A165^ 3 * Solver!$R$27</f>
        <v>-1.0269630396441976</v>
      </c>
      <c r="C165" s="110">
        <f>Solver!$R$25+2*A165*Solver!$R$26+3*A165^2*Solver!$R$27</f>
        <v>2.3565102369450184</v>
      </c>
      <c r="D165" s="110">
        <f>2 * Solver!$R$26 + 6 *A165 * Solver!$R$27</f>
        <v>2.7317690361168623</v>
      </c>
      <c r="E165" s="110">
        <f>(2 * Solver!$R$26 + 6 *A165 * Solver!$R$27)*constants!$B$12</f>
        <v>0.59375</v>
      </c>
      <c r="F165" s="110">
        <f xml:space="preserve"> 6 *  Solver!$R$27 * constants!$B$12</f>
        <v>-1.5625000000000002</v>
      </c>
      <c r="G165" s="111">
        <f>IF(A165=Main!$E$6,F166-F165,IF(A165=Main!$G$6,F166-F165,IF(A165=Main!$C$6,F165,IF(A165=Main!$I$6,-F165,0))))</f>
        <v>0</v>
      </c>
    </row>
    <row r="166" spans="1:7" s="87" customFormat="1">
      <c r="A166" s="109">
        <f>63*(A203-A103)/100+A103</f>
        <v>1.63</v>
      </c>
      <c r="B166" s="110">
        <f>Solver!$R$24 + A166 * Solver!$R$25 +A166^ 2 * Solver!$R$26+A166^ 3 * Solver!$R$27</f>
        <v>-1.0032625469672549</v>
      </c>
      <c r="C166" s="110">
        <f>Solver!$R$25+2*A166*Solver!$R$26+3*A166^2*Solver!$R$27</f>
        <v>2.38346848401196</v>
      </c>
      <c r="D166" s="110">
        <f>2 * Solver!$R$26 + 6 *A166 * Solver!$R$27</f>
        <v>2.6598803772716835</v>
      </c>
      <c r="E166" s="110">
        <f>(2 * Solver!$R$26 + 6 *A166 * Solver!$R$27)*constants!$B$12</f>
        <v>0.57812500000000033</v>
      </c>
      <c r="F166" s="110">
        <f xml:space="preserve"> 6 *  Solver!$R$27 * constants!$B$12</f>
        <v>-1.5625000000000002</v>
      </c>
      <c r="G166" s="111">
        <f>IF(A166=Main!$E$6,F167-F166,IF(A166=Main!$G$6,F167-F166,IF(A166=Main!$C$6,F166,IF(A166=Main!$I$6,-F166,0))))</f>
        <v>0</v>
      </c>
    </row>
    <row r="167" spans="1:7" s="87" customFormat="1">
      <c r="A167" s="109">
        <f>64*(A203-A103)/100+A103</f>
        <v>1.6400000000000001</v>
      </c>
      <c r="B167" s="110">
        <f>Solver!$R$24 + A167 * Solver!$R$25 +A167^ 2 * Solver!$R$26+A167^ 3 * Solver!$R$27</f>
        <v>-0.97929606625258536</v>
      </c>
      <c r="C167" s="110">
        <f>Solver!$R$25+2*A167*Solver!$R$26+3*A167^2*Solver!$R$27</f>
        <v>2.4097078444904518</v>
      </c>
      <c r="D167" s="110">
        <f>2 * Solver!$R$26 + 6 *A167 * Solver!$R$27</f>
        <v>2.5879917184265011</v>
      </c>
      <c r="E167" s="110">
        <f>(2 * Solver!$R$26 + 6 *A167 * Solver!$R$27)*constants!$B$12</f>
        <v>0.5625</v>
      </c>
      <c r="F167" s="110">
        <f xml:space="preserve"> 6 *  Solver!$R$27 * constants!$B$12</f>
        <v>-1.5625000000000002</v>
      </c>
      <c r="G167" s="111">
        <f>IF(A167=Main!$E$6,F168-F167,IF(A167=Main!$G$6,F168-F167,IF(A167=Main!$C$6,F167,IF(A167=Main!$I$6,-F167,0))))</f>
        <v>0</v>
      </c>
    </row>
    <row r="168" spans="1:7">
      <c r="A168" s="109">
        <f>13*(A203-A103)/20+A103</f>
        <v>1.65</v>
      </c>
      <c r="B168" s="110">
        <f>Solver!$R$24 + A168 * Solver!$R$25 +A168^ 2 * Solver!$R$26+A168^ 3 * Solver!$R$27</f>
        <v>-0.95507078636607812</v>
      </c>
      <c r="C168" s="110">
        <f>Solver!$R$25+2*A168*Solver!$R$26+3*A168^2*Solver!$R$27</f>
        <v>2.4352283183804904</v>
      </c>
      <c r="D168" s="110">
        <f>2 * Solver!$R$26 + 6 *A168 * Solver!$R$27</f>
        <v>2.5161030595813223</v>
      </c>
      <c r="E168" s="110">
        <f>(2 * Solver!$R$26 + 6 *A168 * Solver!$R$27)*constants!$B$12</f>
        <v>0.54687500000000033</v>
      </c>
      <c r="F168" s="110">
        <f xml:space="preserve"> 6 *  Solver!$R$27 * constants!$B$12</f>
        <v>-1.5625000000000002</v>
      </c>
      <c r="G168" s="111">
        <f>IF(A168=Main!$E$6,F169-F168,IF(A168=Main!$G$6,F169-F168,IF(A168=Main!$C$6,F168,IF(A168=Main!$I$6,-F168,0))))</f>
        <v>0</v>
      </c>
    </row>
    <row r="169" spans="1:7" s="87" customFormat="1">
      <c r="A169" s="109">
        <f>66*(A203-A103)/100+A103</f>
        <v>1.6600000000000001</v>
      </c>
      <c r="B169" s="110">
        <f>Solver!$R$24 + A169 * Solver!$R$25 +A169^ 2 * Solver!$R$26+A169^ 3 * Solver!$R$27</f>
        <v>-0.93059389617360644</v>
      </c>
      <c r="C169" s="110">
        <f>Solver!$R$25+2*A169*Solver!$R$26+3*A169^2*Solver!$R$27</f>
        <v>2.4600299056820809</v>
      </c>
      <c r="D169" s="110">
        <f>2 * Solver!$R$26 + 6 *A169 * Solver!$R$27</f>
        <v>2.4442144007361399</v>
      </c>
      <c r="E169" s="110">
        <f>(2 * Solver!$R$26 + 6 *A169 * Solver!$R$27)*constants!$B$12</f>
        <v>0.53125</v>
      </c>
      <c r="F169" s="110">
        <f xml:space="preserve"> 6 *  Solver!$R$27 * constants!$B$12</f>
        <v>-1.5625000000000002</v>
      </c>
      <c r="G169" s="111">
        <f>IF(A169=Main!$E$6,F170-F169,IF(A169=Main!$G$6,F170-F169,IF(A169=Main!$C$6,F169,IF(A169=Main!$I$6,-F169,0))))</f>
        <v>0</v>
      </c>
    </row>
    <row r="170" spans="1:7" s="87" customFormat="1">
      <c r="A170" s="109">
        <f>67*(A203-A103)/100+A103</f>
        <v>1.67</v>
      </c>
      <c r="B170" s="110">
        <f>Solver!$R$24 + A170 * Solver!$R$25 +A170^ 2 * Solver!$R$26+A170^ 3 * Solver!$R$27</f>
        <v>-0.9058725845410649</v>
      </c>
      <c r="C170" s="110">
        <f>Solver!$R$25+2*A170*Solver!$R$26+3*A170^2*Solver!$R$27</f>
        <v>2.4841126063952164</v>
      </c>
      <c r="D170" s="110">
        <f>2 * Solver!$R$26 + 6 *A170 * Solver!$R$27</f>
        <v>2.3723257418909593</v>
      </c>
      <c r="E170" s="110">
        <f>(2 * Solver!$R$26 + 6 *A170 * Solver!$R$27)*constants!$B$12</f>
        <v>0.515625</v>
      </c>
      <c r="F170" s="110">
        <f xml:space="preserve"> 6 *  Solver!$R$27 * constants!$B$12</f>
        <v>-1.5625000000000002</v>
      </c>
      <c r="G170" s="111">
        <f>IF(A170=Main!$E$6,F171-F170,IF(A170=Main!$G$6,F171-F170,IF(A170=Main!$C$6,F170,IF(A170=Main!$I$6,-F170,0))))</f>
        <v>0</v>
      </c>
    </row>
    <row r="171" spans="1:7" s="87" customFormat="1">
      <c r="A171" s="109">
        <f>68*(A203-A103)/100+A103</f>
        <v>1.6800000000000002</v>
      </c>
      <c r="B171" s="110">
        <f>Solver!$R$24 + A171 * Solver!$R$25 +A171^ 2 * Solver!$R$26+A171^ 3 * Solver!$R$27</f>
        <v>-0.88091404033433029</v>
      </c>
      <c r="C171" s="110">
        <f>Solver!$R$25+2*A171*Solver!$R$26+3*A171^2*Solver!$R$27</f>
        <v>2.5074764205198967</v>
      </c>
      <c r="D171" s="110">
        <f>2 * Solver!$R$26 + 6 *A171 * Solver!$R$27</f>
        <v>2.300437083045777</v>
      </c>
      <c r="E171" s="110">
        <f>(2 * Solver!$R$26 + 6 *A171 * Solver!$R$27)*constants!$B$12</f>
        <v>0.49999999999999961</v>
      </c>
      <c r="F171" s="110">
        <f xml:space="preserve"> 6 *  Solver!$R$27 * constants!$B$12</f>
        <v>-1.5625000000000002</v>
      </c>
      <c r="G171" s="111">
        <f>IF(A171=Main!$E$6,F172-F171,IF(A171=Main!$G$6,F172-F171,IF(A171=Main!$C$6,F171,IF(A171=Main!$I$6,-F171,0))))</f>
        <v>0</v>
      </c>
    </row>
    <row r="172" spans="1:7" s="87" customFormat="1">
      <c r="A172" s="109">
        <f>69*(A203-A103)/100+A103</f>
        <v>1.69</v>
      </c>
      <c r="B172" s="110">
        <f>Solver!$R$24 + A172 * Solver!$R$25 +A172^ 2 * Solver!$R$26+A172^ 3 * Solver!$R$27</f>
        <v>-0.85572545241929543</v>
      </c>
      <c r="C172" s="110">
        <f>Solver!$R$25+2*A172*Solver!$R$26+3*A172^2*Solver!$R$27</f>
        <v>2.5301213480561326</v>
      </c>
      <c r="D172" s="110">
        <f>2 * Solver!$R$26 + 6 *A172 * Solver!$R$27</f>
        <v>2.2285484242005982</v>
      </c>
      <c r="E172" s="110">
        <f>(2 * Solver!$R$26 + 6 *A172 * Solver!$R$27)*constants!$B$12</f>
        <v>0.484375</v>
      </c>
      <c r="F172" s="110">
        <f xml:space="preserve"> 6 *  Solver!$R$27 * constants!$B$12</f>
        <v>-1.5625000000000002</v>
      </c>
      <c r="G172" s="111">
        <f>IF(A172=Main!$E$6,F173-F172,IF(A172=Main!$G$6,F173-F172,IF(A172=Main!$C$6,F172,IF(A172=Main!$I$6,-F172,0))))</f>
        <v>0</v>
      </c>
    </row>
    <row r="173" spans="1:7">
      <c r="A173" s="109">
        <f>14*(A203-A103)/20+A103</f>
        <v>1.7</v>
      </c>
      <c r="B173" s="110">
        <f>Solver!$R$24 + A173 * Solver!$R$25 +A173^ 2 * Solver!$R$26+A173^ 3 * Solver!$R$27</f>
        <v>-0.83031400966183622</v>
      </c>
      <c r="C173" s="110">
        <f>Solver!$R$25+2*A173*Solver!$R$26+3*A173^2*Solver!$R$27</f>
        <v>2.5520473890039135</v>
      </c>
      <c r="D173" s="110">
        <f>2 * Solver!$R$26 + 6 *A173 * Solver!$R$27</f>
        <v>2.1566597653554194</v>
      </c>
      <c r="E173" s="110">
        <f>(2 * Solver!$R$26 + 6 *A173 * Solver!$R$27)*constants!$B$12</f>
        <v>0.46875000000000039</v>
      </c>
      <c r="F173" s="110">
        <f xml:space="preserve"> 6 *  Solver!$R$27 * constants!$B$12</f>
        <v>-1.5625000000000002</v>
      </c>
      <c r="G173" s="111">
        <f>IF(A173=Main!$E$6,F174-F173,IF(A173=Main!$G$6,F174-F173,IF(A173=Main!$C$6,F173,IF(A173=Main!$I$6,-F173,0))))</f>
        <v>0</v>
      </c>
    </row>
    <row r="174" spans="1:7" s="87" customFormat="1">
      <c r="A174" s="109">
        <f>71*(A203-A103)/100+A103</f>
        <v>1.71</v>
      </c>
      <c r="B174" s="110">
        <f>Solver!$R$24 + A174 * Solver!$R$25 +A174^ 2 * Solver!$R$26+A174^ 3 * Solver!$R$27</f>
        <v>-0.80468690092784545</v>
      </c>
      <c r="C174" s="110">
        <f>Solver!$R$25+2*A174*Solver!$R$26+3*A174^2*Solver!$R$27</f>
        <v>2.573254543363241</v>
      </c>
      <c r="D174" s="110">
        <f>2 * Solver!$R$26 + 6 *A174 * Solver!$R$27</f>
        <v>2.084771106510237</v>
      </c>
      <c r="E174" s="110">
        <f>(2 * Solver!$R$26 + 6 *A174 * Solver!$R$27)*constants!$B$12</f>
        <v>0.453125</v>
      </c>
      <c r="F174" s="110">
        <f xml:space="preserve"> 6 *  Solver!$R$27 * constants!$B$12</f>
        <v>-1.5625000000000002</v>
      </c>
      <c r="G174" s="111">
        <f>IF(A174=Main!$E$6,F175-F174,IF(A174=Main!$G$6,F175-F174,IF(A174=Main!$C$6,F174,IF(A174=Main!$I$6,-F174,0))))</f>
        <v>0</v>
      </c>
    </row>
    <row r="175" spans="1:7" s="87" customFormat="1">
      <c r="A175" s="109">
        <f>72*(A203-A103)/100+A103</f>
        <v>1.72</v>
      </c>
      <c r="B175" s="110">
        <f>Solver!$R$24 + A175 * Solver!$R$25 +A175^ 2 * Solver!$R$26+A175^ 3 * Solver!$R$27</f>
        <v>-0.77885131508320082</v>
      </c>
      <c r="C175" s="110">
        <f>Solver!$R$25+2*A175*Solver!$R$26+3*A175^2*Solver!$R$27</f>
        <v>2.593742811134117</v>
      </c>
      <c r="D175" s="110">
        <f>2 * Solver!$R$26 + 6 *A175 * Solver!$R$27</f>
        <v>2.0128824476650564</v>
      </c>
      <c r="E175" s="110">
        <f>(2 * Solver!$R$26 + 6 *A175 * Solver!$R$27)*constants!$B$12</f>
        <v>0.4375</v>
      </c>
      <c r="F175" s="110">
        <f xml:space="preserve"> 6 *  Solver!$R$27 * constants!$B$12</f>
        <v>-1.5625000000000002</v>
      </c>
      <c r="G175" s="111">
        <f>IF(A175=Main!$E$6,F176-F175,IF(A175=Main!$G$6,F176-F175,IF(A175=Main!$C$6,F175,IF(A175=Main!$I$6,-F175,0))))</f>
        <v>0</v>
      </c>
    </row>
    <row r="176" spans="1:7" s="87" customFormat="1">
      <c r="A176" s="109">
        <f>73*(A203-A103)/100+A103</f>
        <v>1.73</v>
      </c>
      <c r="B176" s="110">
        <f>Solver!$R$24 + A176 * Solver!$R$25 +A176^ 2 * Solver!$R$26+A176^ 3 * Solver!$R$27</f>
        <v>-0.75281444099378803</v>
      </c>
      <c r="C176" s="110">
        <f>Solver!$R$25+2*A176*Solver!$R$26+3*A176^2*Solver!$R$27</f>
        <v>2.6135121923165414</v>
      </c>
      <c r="D176" s="110">
        <f>2 * Solver!$R$26 + 6 *A176 * Solver!$R$27</f>
        <v>1.9409937888198776</v>
      </c>
      <c r="E176" s="110">
        <f>(2 * Solver!$R$26 + 6 *A176 * Solver!$R$27)*constants!$B$12</f>
        <v>0.42187500000000039</v>
      </c>
      <c r="F176" s="110">
        <f xml:space="preserve"> 6 *  Solver!$R$27 * constants!$B$12</f>
        <v>-1.5625000000000002</v>
      </c>
      <c r="G176" s="111">
        <f>IF(A176=Main!$E$6,F177-F176,IF(A176=Main!$G$6,F177-F176,IF(A176=Main!$C$6,F176,IF(A176=Main!$I$6,-F176,0))))</f>
        <v>0</v>
      </c>
    </row>
    <row r="177" spans="1:7" s="87" customFormat="1">
      <c r="A177" s="109">
        <f>74*(A203-A103)/100+A103</f>
        <v>1.74</v>
      </c>
      <c r="B177" s="110">
        <f>Solver!$R$24 + A177 * Solver!$R$25 +A177^ 2 * Solver!$R$26+A177^ 3 * Solver!$R$27</f>
        <v>-0.72658346752549541</v>
      </c>
      <c r="C177" s="110">
        <f>Solver!$R$25+2*A177*Solver!$R$26+3*A177^2*Solver!$R$27</f>
        <v>2.6325626869105125</v>
      </c>
      <c r="D177" s="110">
        <f>2 * Solver!$R$26 + 6 *A177 * Solver!$R$27</f>
        <v>1.8691051299746952</v>
      </c>
      <c r="E177" s="110">
        <f>(2 * Solver!$R$26 + 6 *A177 * Solver!$R$27)*constants!$B$12</f>
        <v>0.40625</v>
      </c>
      <c r="F177" s="110">
        <f xml:space="preserve"> 6 *  Solver!$R$27 * constants!$B$12</f>
        <v>-1.5625000000000002</v>
      </c>
      <c r="G177" s="111">
        <f>IF(A177=Main!$E$6,F178-F177,IF(A177=Main!$G$6,F178-F177,IF(A177=Main!$C$6,F177,IF(A177=Main!$I$6,-F177,0))))</f>
        <v>0</v>
      </c>
    </row>
    <row r="178" spans="1:7">
      <c r="A178" s="109">
        <f>15*(A203-A103)/20+A103</f>
        <v>1.75</v>
      </c>
      <c r="B178" s="110">
        <f>Solver!$R$24 + A178 * Solver!$R$25 +A178^ 2 * Solver!$R$26+A178^ 3 * Solver!$R$27</f>
        <v>-0.70016558354420599</v>
      </c>
      <c r="C178" s="110">
        <f>Solver!$R$25+2*A178*Solver!$R$26+3*A178^2*Solver!$R$27</f>
        <v>2.6508942949160339</v>
      </c>
      <c r="D178" s="110">
        <f>2 * Solver!$R$26 + 6 *A178 * Solver!$R$27</f>
        <v>1.7972164711295147</v>
      </c>
      <c r="E178" s="110">
        <f>(2 * Solver!$R$26 + 6 *A178 * Solver!$R$27)*constants!$B$12</f>
        <v>0.390625</v>
      </c>
      <c r="F178" s="110">
        <f xml:space="preserve"> 6 *  Solver!$R$27 * constants!$B$12</f>
        <v>-1.5625000000000002</v>
      </c>
      <c r="G178" s="111">
        <f>IF(A178=Main!$E$6,F179-F178,IF(A178=Main!$G$6,F179-F178,IF(A178=Main!$C$6,F178,IF(A178=Main!$I$6,-F178,0))))</f>
        <v>0</v>
      </c>
    </row>
    <row r="179" spans="1:7" s="87" customFormat="1">
      <c r="A179" s="109">
        <f>76*(A203-A103)/100+A103</f>
        <v>1.76</v>
      </c>
      <c r="B179" s="110">
        <f>Solver!$R$24 + A179 * Solver!$R$25 +A179^ 2 * Solver!$R$26+A179^ 3 * Solver!$R$27</f>
        <v>-0.6735679779158037</v>
      </c>
      <c r="C179" s="110">
        <f>Solver!$R$25+2*A179*Solver!$R$26+3*A179^2*Solver!$R$27</f>
        <v>2.6685070163331037</v>
      </c>
      <c r="D179" s="110">
        <f>2 * Solver!$R$26 + 6 *A179 * Solver!$R$27</f>
        <v>1.7253278122843341</v>
      </c>
      <c r="E179" s="110">
        <f>(2 * Solver!$R$26 + 6 *A179 * Solver!$R$27)*constants!$B$12</f>
        <v>0.375</v>
      </c>
      <c r="F179" s="110">
        <f xml:space="preserve"> 6 *  Solver!$R$27 * constants!$B$12</f>
        <v>-1.5625000000000002</v>
      </c>
      <c r="G179" s="111">
        <f>IF(A179=Main!$E$6,F180-F179,IF(A179=Main!$G$6,F180-F179,IF(A179=Main!$C$6,F179,IF(A179=Main!$I$6,-F179,0))))</f>
        <v>0</v>
      </c>
    </row>
    <row r="180" spans="1:7" s="87" customFormat="1">
      <c r="A180" s="109">
        <f>77*(A203-A103)/100+A103</f>
        <v>1.77</v>
      </c>
      <c r="B180" s="110">
        <f>Solver!$R$24 + A180 * Solver!$R$25 +A180^ 2 * Solver!$R$26+A180^ 3 * Solver!$R$27</f>
        <v>-0.64679783950617153</v>
      </c>
      <c r="C180" s="110">
        <f>Solver!$R$25+2*A180*Solver!$R$26+3*A180^2*Solver!$R$27</f>
        <v>2.6854008511617184</v>
      </c>
      <c r="D180" s="110">
        <f>2 * Solver!$R$26 + 6 *A180 * Solver!$R$27</f>
        <v>1.6534391534391517</v>
      </c>
      <c r="E180" s="110">
        <f>(2 * Solver!$R$26 + 6 *A180 * Solver!$R$27)*constants!$B$12</f>
        <v>0.35937499999999961</v>
      </c>
      <c r="F180" s="110">
        <f xml:space="preserve"> 6 *  Solver!$R$27 * constants!$B$12</f>
        <v>-1.5625000000000002</v>
      </c>
      <c r="G180" s="111">
        <f>IF(A180=Main!$E$6,F181-F180,IF(A180=Main!$G$6,F181-F180,IF(A180=Main!$C$6,F180,IF(A180=Main!$I$6,-F180,0))))</f>
        <v>0</v>
      </c>
    </row>
    <row r="181" spans="1:7" s="87" customFormat="1">
      <c r="A181" s="109">
        <f>78*(A203-A103)/100+A103</f>
        <v>1.78</v>
      </c>
      <c r="B181" s="110">
        <f>Solver!$R$24 + A181 * Solver!$R$25 +A181^ 2 * Solver!$R$26+A181^ 3 * Solver!$R$27</f>
        <v>-0.61986235718119875</v>
      </c>
      <c r="C181" s="110">
        <f>Solver!$R$25+2*A181*Solver!$R$26+3*A181^2*Solver!$R$27</f>
        <v>2.701575799401887</v>
      </c>
      <c r="D181" s="110">
        <f>2 * Solver!$R$26 + 6 *A181 * Solver!$R$27</f>
        <v>1.5815504945939729</v>
      </c>
      <c r="E181" s="110">
        <f>(2 * Solver!$R$26 + 6 *A181 * Solver!$R$27)*constants!$B$12</f>
        <v>0.34375</v>
      </c>
      <c r="F181" s="110">
        <f xml:space="preserve"> 6 *  Solver!$R$27 * constants!$B$12</f>
        <v>-1.5625000000000002</v>
      </c>
      <c r="G181" s="111">
        <f>IF(A181=Main!$E$6,F182-F181,IF(A181=Main!$G$6,F182-F181,IF(A181=Main!$C$6,F181,IF(A181=Main!$I$6,-F181,0))))</f>
        <v>0</v>
      </c>
    </row>
    <row r="182" spans="1:7" s="87" customFormat="1">
      <c r="A182" s="109">
        <f>79*(A203-A103)/100+A103</f>
        <v>1.79</v>
      </c>
      <c r="B182" s="110">
        <f>Solver!$R$24 + A182 * Solver!$R$25 +A182^ 2 * Solver!$R$26+A182^ 3 * Solver!$R$27</f>
        <v>-0.59276871980676304</v>
      </c>
      <c r="C182" s="110">
        <f>Solver!$R$25+2*A182*Solver!$R$26+3*A182^2*Solver!$R$27</f>
        <v>2.7170318610536022</v>
      </c>
      <c r="D182" s="110">
        <f>2 * Solver!$R$26 + 6 *A182 * Solver!$R$27</f>
        <v>1.5096618357487923</v>
      </c>
      <c r="E182" s="110">
        <f>(2 * Solver!$R$26 + 6 *A182 * Solver!$R$27)*constants!$B$12</f>
        <v>0.328125</v>
      </c>
      <c r="F182" s="110">
        <f xml:space="preserve"> 6 *  Solver!$R$27 * constants!$B$12</f>
        <v>-1.5625000000000002</v>
      </c>
      <c r="G182" s="111">
        <f>IF(A182=Main!$E$6,F183-F182,IF(A182=Main!$G$6,F183-F182,IF(A182=Main!$C$6,F182,IF(A182=Main!$I$6,-F182,0))))</f>
        <v>0</v>
      </c>
    </row>
    <row r="183" spans="1:7">
      <c r="A183" s="109">
        <f>16*(A203-A103)/20+A103</f>
        <v>1.8</v>
      </c>
      <c r="B183" s="110">
        <f>Solver!$R$24 + A183 * Solver!$R$25 +A183^ 2 * Solver!$R$26+A183^ 3 * Solver!$R$27</f>
        <v>-0.56552411624875454</v>
      </c>
      <c r="C183" s="110">
        <f>Solver!$R$25+2*A183*Solver!$R$26+3*A183^2*Solver!$R$27</f>
        <v>2.7317690361168623</v>
      </c>
      <c r="D183" s="110">
        <f>2 * Solver!$R$26 + 6 *A183 * Solver!$R$27</f>
        <v>1.4377731769036117</v>
      </c>
      <c r="E183" s="110">
        <f>(2 * Solver!$R$26 + 6 *A183 * Solver!$R$27)*constants!$B$12</f>
        <v>0.3125</v>
      </c>
      <c r="F183" s="110">
        <f xml:space="preserve"> 6 *  Solver!$R$27 * constants!$B$12</f>
        <v>-1.5625000000000002</v>
      </c>
      <c r="G183" s="111">
        <f>IF(A183=Main!$E$6,F184-F183,IF(A183=Main!$G$6,F184-F183,IF(A183=Main!$C$6,F183,IF(A183=Main!$I$6,-F183,0))))</f>
        <v>0</v>
      </c>
    </row>
    <row r="184" spans="1:7" s="87" customFormat="1">
      <c r="A184" s="109">
        <f>81*(A203-A103)/100+A103</f>
        <v>1.81</v>
      </c>
      <c r="B184" s="110">
        <f>Solver!$R$24 + A184 * Solver!$R$25 +A184^ 2 * Solver!$R$26+A184^ 3 * Solver!$R$27</f>
        <v>-0.53813573537305448</v>
      </c>
      <c r="C184" s="110">
        <f>Solver!$R$25+2*A184*Solver!$R$26+3*A184^2*Solver!$R$27</f>
        <v>2.7457873245916726</v>
      </c>
      <c r="D184" s="110">
        <f>2 * Solver!$R$26 + 6 *A184 * Solver!$R$27</f>
        <v>1.3658845180584311</v>
      </c>
      <c r="E184" s="110">
        <f>(2 * Solver!$R$26 + 6 *A184 * Solver!$R$27)*constants!$B$12</f>
        <v>0.296875</v>
      </c>
      <c r="F184" s="110">
        <f xml:space="preserve"> 6 *  Solver!$R$27 * constants!$B$12</f>
        <v>-1.5625000000000002</v>
      </c>
      <c r="G184" s="111">
        <f>IF(A184=Main!$E$6,F185-F184,IF(A184=Main!$G$6,F185-F184,IF(A184=Main!$C$6,F184,IF(A184=Main!$I$6,-F184,0))))</f>
        <v>0</v>
      </c>
    </row>
    <row r="185" spans="1:7" s="87" customFormat="1">
      <c r="A185" s="109">
        <f>82*(A203-A103)/100+A103</f>
        <v>1.8199999999999998</v>
      </c>
      <c r="B185" s="110">
        <f>Solver!$R$24 + A185 * Solver!$R$25 +A185^ 2 * Solver!$R$26+A185^ 3 * Solver!$R$27</f>
        <v>-0.51061076604554767</v>
      </c>
      <c r="C185" s="110">
        <f>Solver!$R$25+2*A185*Solver!$R$26+3*A185^2*Solver!$R$27</f>
        <v>2.7590867264780314</v>
      </c>
      <c r="D185" s="110">
        <f>2 * Solver!$R$26 + 6 *A185 * Solver!$R$27</f>
        <v>1.2939958592132523</v>
      </c>
      <c r="E185" s="110">
        <f>(2 * Solver!$R$26 + 6 *A185 * Solver!$R$27)*constants!$B$12</f>
        <v>0.28125000000000039</v>
      </c>
      <c r="F185" s="110">
        <f xml:space="preserve"> 6 *  Solver!$R$27 * constants!$B$12</f>
        <v>-1.5625000000000002</v>
      </c>
      <c r="G185" s="111">
        <f>IF(A185=Main!$E$6,F186-F185,IF(A185=Main!$G$6,F186-F185,IF(A185=Main!$C$6,F185,IF(A185=Main!$I$6,-F185,0))))</f>
        <v>0</v>
      </c>
    </row>
    <row r="186" spans="1:7" s="87" customFormat="1">
      <c r="A186" s="109">
        <f>83*(A203-A103)/100+A103</f>
        <v>1.83</v>
      </c>
      <c r="B186" s="110">
        <f>Solver!$R$24 + A186 * Solver!$R$25 +A186^ 2 * Solver!$R$26+A186^ 3 * Solver!$R$27</f>
        <v>-0.48295639713212157</v>
      </c>
      <c r="C186" s="110">
        <f>Solver!$R$25+2*A186*Solver!$R$26+3*A186^2*Solver!$R$27</f>
        <v>2.7716672417759369</v>
      </c>
      <c r="D186" s="110">
        <f>2 * Solver!$R$26 + 6 *A186 * Solver!$R$27</f>
        <v>1.22210720036807</v>
      </c>
      <c r="E186" s="110">
        <f>(2 * Solver!$R$26 + 6 *A186 * Solver!$R$27)*constants!$B$12</f>
        <v>0.265625</v>
      </c>
      <c r="F186" s="110">
        <f xml:space="preserve"> 6 *  Solver!$R$27 * constants!$B$12</f>
        <v>-1.5625000000000002</v>
      </c>
      <c r="G186" s="111">
        <f>IF(A186=Main!$E$6,F187-F186,IF(A186=Main!$G$6,F187-F186,IF(A186=Main!$C$6,F186,IF(A186=Main!$I$6,-F186,0))))</f>
        <v>0</v>
      </c>
    </row>
    <row r="187" spans="1:7" s="87" customFormat="1">
      <c r="A187" s="109">
        <f>84*(A203-A103)/100+A103</f>
        <v>1.8399999999999999</v>
      </c>
      <c r="B187" s="110">
        <f>Solver!$R$24 + A187 * Solver!$R$25 +A187^ 2 * Solver!$R$26+A187^ 3 * Solver!$R$27</f>
        <v>-0.45517981749865655</v>
      </c>
      <c r="C187" s="110">
        <f>Solver!$R$25+2*A187*Solver!$R$26+3*A187^2*Solver!$R$27</f>
        <v>2.7835288704853927</v>
      </c>
      <c r="D187" s="110">
        <f>2 * Solver!$R$26 + 6 *A187 * Solver!$R$27</f>
        <v>1.1502185415228912</v>
      </c>
      <c r="E187" s="110">
        <f>(2 * Solver!$R$26 + 6 *A187 * Solver!$R$27)*constants!$B$12</f>
        <v>0.25000000000000039</v>
      </c>
      <c r="F187" s="110">
        <f xml:space="preserve"> 6 *  Solver!$R$27 * constants!$B$12</f>
        <v>-1.5625000000000002</v>
      </c>
      <c r="G187" s="111">
        <f>IF(A187=Main!$E$6,F188-F187,IF(A187=Main!$G$6,F188-F187,IF(A187=Main!$C$6,F187,IF(A187=Main!$I$6,-F187,0))))</f>
        <v>0</v>
      </c>
    </row>
    <row r="188" spans="1:7">
      <c r="A188" s="109">
        <f>17*(A203-A103)/20+A103</f>
        <v>1.85</v>
      </c>
      <c r="B188" s="110">
        <f>Solver!$R$24 + A188 * Solver!$R$25 +A188^ 2 * Solver!$R$26+A188^ 3 * Solver!$R$27</f>
        <v>-0.42728821601104272</v>
      </c>
      <c r="C188" s="110">
        <f>Solver!$R$25+2*A188*Solver!$R$26+3*A188^2*Solver!$R$27</f>
        <v>2.7946716126063933</v>
      </c>
      <c r="D188" s="110">
        <f>2 * Solver!$R$26 + 6 *A188 * Solver!$R$27</f>
        <v>1.078329882677707</v>
      </c>
      <c r="E188" s="110">
        <f>(2 * Solver!$R$26 + 6 *A188 * Solver!$R$27)*constants!$B$12</f>
        <v>0.23437499999999961</v>
      </c>
      <c r="F188" s="110">
        <f xml:space="preserve"> 6 *  Solver!$R$27 * constants!$B$12</f>
        <v>-1.5625000000000002</v>
      </c>
      <c r="G188" s="111">
        <f>IF(A188=Main!$E$6,F189-F188,IF(A188=Main!$G$6,F189-F188,IF(A188=Main!$C$6,F188,IF(A188=Main!$I$6,-F188,0))))</f>
        <v>0</v>
      </c>
    </row>
    <row r="189" spans="1:7" s="87" customFormat="1">
      <c r="A189" s="109">
        <f>86*(A203-A103)/100+A103</f>
        <v>1.8599999999999999</v>
      </c>
      <c r="B189" s="110">
        <f>Solver!$R$24 + A189 * Solver!$R$25 +A189^ 2 * Solver!$R$26+A189^ 3 * Solver!$R$27</f>
        <v>-0.39928878153515956</v>
      </c>
      <c r="C189" s="110">
        <f>Solver!$R$25+2*A189*Solver!$R$26+3*A189^2*Solver!$R$27</f>
        <v>2.8050954681389459</v>
      </c>
      <c r="D189" s="110">
        <f>2 * Solver!$R$26 + 6 *A189 * Solver!$R$27</f>
        <v>1.0064412238325282</v>
      </c>
      <c r="E189" s="110">
        <f>(2 * Solver!$R$26 + 6 *A189 * Solver!$R$27)*constants!$B$12</f>
        <v>0.21875</v>
      </c>
      <c r="F189" s="110">
        <f xml:space="preserve"> 6 *  Solver!$R$27 * constants!$B$12</f>
        <v>-1.5625000000000002</v>
      </c>
      <c r="G189" s="111">
        <f>IF(A189=Main!$E$6,F190-F189,IF(A189=Main!$G$6,F190-F189,IF(A189=Main!$C$6,F189,IF(A189=Main!$I$6,-F189,0))))</f>
        <v>0</v>
      </c>
    </row>
    <row r="190" spans="1:7" s="87" customFormat="1">
      <c r="A190" s="109">
        <f>87*(A203-A103)/100+A103</f>
        <v>1.87</v>
      </c>
      <c r="B190" s="110">
        <f>Solver!$R$24 + A190 * Solver!$R$25 +A190^ 2 * Solver!$R$26+A190^ 3 * Solver!$R$27</f>
        <v>-0.37118870293688833</v>
      </c>
      <c r="C190" s="110">
        <f>Solver!$R$25+2*A190*Solver!$R$26+3*A190^2*Solver!$R$27</f>
        <v>2.8148004370830435</v>
      </c>
      <c r="D190" s="110">
        <f>2 * Solver!$R$26 + 6 *A190 * Solver!$R$27</f>
        <v>0.93455256498734762</v>
      </c>
      <c r="E190" s="110">
        <f>(2 * Solver!$R$26 + 6 *A190 * Solver!$R$27)*constants!$B$12</f>
        <v>0.203125</v>
      </c>
      <c r="F190" s="110">
        <f xml:space="preserve"> 6 *  Solver!$R$27 * constants!$B$12</f>
        <v>-1.5625000000000002</v>
      </c>
      <c r="G190" s="111">
        <f>IF(A190=Main!$E$6,F191-F190,IF(A190=Main!$G$6,F191-F190,IF(A190=Main!$C$6,F190,IF(A190=Main!$I$6,-F190,0))))</f>
        <v>0</v>
      </c>
    </row>
    <row r="191" spans="1:7" s="87" customFormat="1">
      <c r="A191" s="109">
        <f>88*(A203-A103)/100+A103</f>
        <v>1.88</v>
      </c>
      <c r="B191" s="110">
        <f>Solver!$R$24 + A191 * Solver!$R$25 +A191^ 2 * Solver!$R$26+A191^ 3 * Solver!$R$27</f>
        <v>-0.34299516908212713</v>
      </c>
      <c r="C191" s="110">
        <f>Solver!$R$25+2*A191*Solver!$R$26+3*A191^2*Solver!$R$27</f>
        <v>2.8237865194386949</v>
      </c>
      <c r="D191" s="110">
        <f>2 * Solver!$R$26 + 6 *A191 * Solver!$R$27</f>
        <v>0.86266390614216704</v>
      </c>
      <c r="E191" s="110">
        <f>(2 * Solver!$R$26 + 6 *A191 * Solver!$R$27)*constants!$B$12</f>
        <v>0.1875</v>
      </c>
      <c r="F191" s="110">
        <f xml:space="preserve"> 6 *  Solver!$R$27 * constants!$B$12</f>
        <v>-1.5625000000000002</v>
      </c>
      <c r="G191" s="111">
        <f>IF(A191=Main!$E$6,F192-F191,IF(A191=Main!$G$6,F192-F191,IF(A191=Main!$C$6,F191,IF(A191=Main!$I$6,-F191,0))))</f>
        <v>0</v>
      </c>
    </row>
    <row r="192" spans="1:7" s="87" customFormat="1">
      <c r="A192" s="109">
        <f>89*(A203-A103)/100+A103</f>
        <v>1.8900000000000001</v>
      </c>
      <c r="B192" s="110">
        <f>Solver!$R$24 + A192 * Solver!$R$25 +A192^ 2 * Solver!$R$26+A192^ 3 * Solver!$R$27</f>
        <v>-0.31471536883674212</v>
      </c>
      <c r="C192" s="110">
        <f>Solver!$R$25+2*A192*Solver!$R$26+3*A192^2*Solver!$R$27</f>
        <v>2.8320537152058893</v>
      </c>
      <c r="D192" s="110">
        <f>2 * Solver!$R$26 + 6 *A192 * Solver!$R$27</f>
        <v>0.79077524729698645</v>
      </c>
      <c r="E192" s="110">
        <f>(2 * Solver!$R$26 + 6 *A192 * Solver!$R$27)*constants!$B$12</f>
        <v>0.171875</v>
      </c>
      <c r="F192" s="110">
        <f xml:space="preserve"> 6 *  Solver!$R$27 * constants!$B$12</f>
        <v>-1.5625000000000002</v>
      </c>
      <c r="G192" s="111">
        <f>IF(A192=Main!$E$6,F193-F192,IF(A192=Main!$G$6,F193-F192,IF(A192=Main!$C$6,F192,IF(A192=Main!$I$6,-F192,0))))</f>
        <v>0</v>
      </c>
    </row>
    <row r="193" spans="1:7">
      <c r="A193" s="109">
        <f>18*(A203-A103)/20+A103</f>
        <v>1.9</v>
      </c>
      <c r="B193" s="110">
        <f>Solver!$R$24 + A193 * Solver!$R$25 +A193^ 2 * Solver!$R$26+A193^ 3 * Solver!$R$27</f>
        <v>-0.28635649106663585</v>
      </c>
      <c r="C193" s="110">
        <f>Solver!$R$25+2*A193*Solver!$R$26+3*A193^2*Solver!$R$27</f>
        <v>2.839602024384634</v>
      </c>
      <c r="D193" s="110">
        <f>2 * Solver!$R$26 + 6 *A193 * Solver!$R$27</f>
        <v>0.71888658845180764</v>
      </c>
      <c r="E193" s="110">
        <f>(2 * Solver!$R$26 + 6 *A193 * Solver!$R$27)*constants!$B$12</f>
        <v>0.15625000000000039</v>
      </c>
      <c r="F193" s="110">
        <f xml:space="preserve"> 6 *  Solver!$R$27 * constants!$B$12</f>
        <v>-1.5625000000000002</v>
      </c>
      <c r="G193" s="111">
        <f>IF(A193=Main!$E$6,F194-F193,IF(A193=Main!$G$6,F194-F193,IF(A193=Main!$C$6,F193,IF(A193=Main!$I$6,-F193,0))))</f>
        <v>0</v>
      </c>
    </row>
    <row r="194" spans="1:7" s="87" customFormat="1">
      <c r="A194" s="109">
        <f>91*(A203-A103)/100+A103</f>
        <v>1.9100000000000001</v>
      </c>
      <c r="B194" s="110">
        <f>Solver!$R$24 + A194 * Solver!$R$25 +A194^ 2 * Solver!$R$26+A194^ 3 * Solver!$R$27</f>
        <v>-0.25792572463767982</v>
      </c>
      <c r="C194" s="110">
        <f>Solver!$R$25+2*A194*Solver!$R$26+3*A194^2*Solver!$R$27</f>
        <v>2.8464314469749272</v>
      </c>
      <c r="D194" s="110">
        <f>2 * Solver!$R$26 + 6 *A194 * Solver!$R$27</f>
        <v>0.6469979296066235</v>
      </c>
      <c r="E194" s="110">
        <f>(2 * Solver!$R$26 + 6 *A194 * Solver!$R$27)*constants!$B$12</f>
        <v>0.14062499999999961</v>
      </c>
      <c r="F194" s="110">
        <f xml:space="preserve"> 6 *  Solver!$R$27 * constants!$B$12</f>
        <v>-1.5625000000000002</v>
      </c>
      <c r="G194" s="111">
        <f>IF(A194=Main!$E$6,F195-F194,IF(A194=Main!$G$6,F195-F194,IF(A194=Main!$C$6,F194,IF(A194=Main!$I$6,-F194,0))))</f>
        <v>0</v>
      </c>
    </row>
    <row r="195" spans="1:7" s="87" customFormat="1">
      <c r="A195" s="109">
        <f>92*(A203-A103)/100+A103</f>
        <v>1.92</v>
      </c>
      <c r="B195" s="110">
        <f>Solver!$R$24 + A195 * Solver!$R$25 +A195^ 2 * Solver!$R$26+A195^ 3 * Solver!$R$27</f>
        <v>-0.22943025841576414</v>
      </c>
      <c r="C195" s="110">
        <f>Solver!$R$25+2*A195*Solver!$R$26+3*A195^2*Solver!$R$27</f>
        <v>2.8525419829767635</v>
      </c>
      <c r="D195" s="110">
        <f>2 * Solver!$R$26 + 6 *A195 * Solver!$R$27</f>
        <v>0.57510927076144469</v>
      </c>
      <c r="E195" s="110">
        <f>(2 * Solver!$R$26 + 6 *A195 * Solver!$R$27)*constants!$B$12</f>
        <v>0.125</v>
      </c>
      <c r="F195" s="110">
        <f xml:space="preserve"> 6 *  Solver!$R$27 * constants!$B$12</f>
        <v>-1.5625000000000002</v>
      </c>
      <c r="G195" s="111">
        <f>IF(A195=Main!$E$6,F196-F195,IF(A195=Main!$G$6,F196-F195,IF(A195=Main!$C$6,F195,IF(A195=Main!$I$6,-F195,0))))</f>
        <v>0</v>
      </c>
    </row>
    <row r="196" spans="1:7" s="87" customFormat="1">
      <c r="A196" s="109">
        <f>93*(A203-A103)/100+A103</f>
        <v>1.9300000000000002</v>
      </c>
      <c r="B196" s="110">
        <f>Solver!$R$24 + A196 * Solver!$R$25 +A196^ 2 * Solver!$R$26+A196^ 3 * Solver!$R$27</f>
        <v>-0.20087728126677185</v>
      </c>
      <c r="C196" s="110">
        <f>Solver!$R$25+2*A196*Solver!$R$26+3*A196^2*Solver!$R$27</f>
        <v>2.8579336323901536</v>
      </c>
      <c r="D196" s="110">
        <f>2 * Solver!$R$26 + 6 *A196 * Solver!$R$27</f>
        <v>0.50322061191626233</v>
      </c>
      <c r="E196" s="110">
        <f>(2 * Solver!$R$26 + 6 *A196 * Solver!$R$27)*constants!$B$12</f>
        <v>0.10937499999999961</v>
      </c>
      <c r="F196" s="110">
        <f xml:space="preserve"> 6 *  Solver!$R$27 * constants!$B$12</f>
        <v>-1.5625000000000002</v>
      </c>
      <c r="G196" s="111">
        <f>IF(A196=Main!$E$6,F197-F196,IF(A196=Main!$G$6,F197-F196,IF(A196=Main!$C$6,F196,IF(A196=Main!$I$6,-F196,0))))</f>
        <v>0</v>
      </c>
    </row>
    <row r="197" spans="1:7" s="87" customFormat="1">
      <c r="A197" s="109">
        <f>94*(A203-A103)/100+A103</f>
        <v>1.94</v>
      </c>
      <c r="B197" s="110">
        <f>Solver!$R$24 + A197 * Solver!$R$25 +A197^ 2 * Solver!$R$26+A197^ 3 * Solver!$R$27</f>
        <v>-0.17227398205659306</v>
      </c>
      <c r="C197" s="110">
        <f>Solver!$R$25+2*A197*Solver!$R$26+3*A197^2*Solver!$R$27</f>
        <v>2.8626063952150904</v>
      </c>
      <c r="D197" s="110">
        <f>2 * Solver!$R$26 + 6 *A197 * Solver!$R$27</f>
        <v>0.43133195307108352</v>
      </c>
      <c r="E197" s="110">
        <f>(2 * Solver!$R$26 + 6 *A197 * Solver!$R$27)*constants!$B$12</f>
        <v>9.375E-2</v>
      </c>
      <c r="F197" s="110">
        <f xml:space="preserve"> 6 *  Solver!$R$27 * constants!$B$12</f>
        <v>-1.5625000000000002</v>
      </c>
      <c r="G197" s="111">
        <f>IF(A197=Main!$E$6,F198-F197,IF(A197=Main!$G$6,F198-F197,IF(A197=Main!$C$6,F197,IF(A197=Main!$I$6,-F197,0))))</f>
        <v>0</v>
      </c>
    </row>
    <row r="198" spans="1:7">
      <c r="A198" s="109">
        <f>19*(A203-A103)/20+A103</f>
        <v>1.95</v>
      </c>
      <c r="B198" s="110">
        <f>Solver!$R$24 + A198 * Solver!$R$25 +A198^ 2 * Solver!$R$26+A198^ 3 * Solver!$R$27</f>
        <v>-0.14362754965110192</v>
      </c>
      <c r="C198" s="110">
        <f>Solver!$R$25+2*A198*Solver!$R$26+3*A198^2*Solver!$R$27</f>
        <v>2.8665602714515792</v>
      </c>
      <c r="D198" s="110">
        <f>2 * Solver!$R$26 + 6 *A198 * Solver!$R$27</f>
        <v>0.35944329422590471</v>
      </c>
      <c r="E198" s="110">
        <f>(2 * Solver!$R$26 + 6 *A198 * Solver!$R$27)*constants!$B$12</f>
        <v>7.8125000000000389E-2</v>
      </c>
      <c r="F198" s="110">
        <f xml:space="preserve"> 6 *  Solver!$R$27 * constants!$B$12</f>
        <v>-1.5625000000000002</v>
      </c>
      <c r="G198" s="111">
        <f>IF(A198=Main!$E$6,F199-F198,IF(A198=Main!$G$6,F199-F198,IF(A198=Main!$C$6,F198,IF(A198=Main!$I$6,-F198,0))))</f>
        <v>0</v>
      </c>
    </row>
    <row r="199" spans="1:7" s="87" customFormat="1">
      <c r="A199" s="109">
        <f>96*(A203-A103)/100+A103</f>
        <v>1.96</v>
      </c>
      <c r="B199" s="110">
        <f>Solver!$R$24 + A199 * Solver!$R$25 +A199^ 2 * Solver!$R$26+A199^ 3 * Solver!$R$27</f>
        <v>-0.11494517291618678</v>
      </c>
      <c r="C199" s="110">
        <f>Solver!$R$25+2*A199*Solver!$R$26+3*A199^2*Solver!$R$27</f>
        <v>2.8697952610996076</v>
      </c>
      <c r="D199" s="110">
        <f>2 * Solver!$R$26 + 6 *A199 * Solver!$R$27</f>
        <v>0.28755463538072235</v>
      </c>
      <c r="E199" s="110">
        <f>(2 * Solver!$R$26 + 6 *A199 * Solver!$R$27)*constants!$B$12</f>
        <v>6.25E-2</v>
      </c>
      <c r="F199" s="110">
        <f xml:space="preserve"> 6 *  Solver!$R$27 * constants!$B$12</f>
        <v>-1.5625000000000002</v>
      </c>
      <c r="G199" s="111">
        <f>IF(A199=Main!$E$6,F200-F199,IF(A199=Main!$G$6,F200-F199,IF(A199=Main!$C$6,F199,IF(A199=Main!$I$6,-F199,0))))</f>
        <v>0</v>
      </c>
    </row>
    <row r="200" spans="1:7" s="87" customFormat="1">
      <c r="A200" s="109">
        <f>97*(A203-A103)/100+A103</f>
        <v>1.97</v>
      </c>
      <c r="B200" s="110">
        <f>Solver!$R$24 + A200 * Solver!$R$25 +A200^ 2 * Solver!$R$26+A200^ 3 * Solver!$R$27</f>
        <v>-8.6234040717735994E-2</v>
      </c>
      <c r="C200" s="110">
        <f>Solver!$R$25+2*A200*Solver!$R$26+3*A200^2*Solver!$R$27</f>
        <v>2.8723113641591933</v>
      </c>
      <c r="D200" s="110">
        <f>2 * Solver!$R$26 + 6 *A200 * Solver!$R$27</f>
        <v>0.21566597653554176</v>
      </c>
      <c r="E200" s="110">
        <f>(2 * Solver!$R$26 + 6 *A200 * Solver!$R$27)*constants!$B$12</f>
        <v>4.6875E-2</v>
      </c>
      <c r="F200" s="110">
        <f xml:space="preserve"> 6 *  Solver!$R$27 * constants!$B$12</f>
        <v>-1.5625000000000002</v>
      </c>
      <c r="G200" s="111">
        <f>IF(A200=Main!$E$6,F201-F200,IF(A200=Main!$G$6,F201-F200,IF(A200=Main!$C$6,F200,IF(A200=Main!$I$6,-F200,0))))</f>
        <v>0</v>
      </c>
    </row>
    <row r="201" spans="1:7" s="87" customFormat="1">
      <c r="A201" s="109">
        <f>98*(A203-A103)/100+A103</f>
        <v>1.98</v>
      </c>
      <c r="B201" s="110">
        <f>Solver!$R$24 + A201 * Solver!$R$25 +A201^ 2 * Solver!$R$26+A201^ 3 * Solver!$R$27</f>
        <v>-5.7501341921632587E-2</v>
      </c>
      <c r="C201" s="110">
        <f>Solver!$R$25+2*A201*Solver!$R$26+3*A201^2*Solver!$R$27</f>
        <v>2.8741085806303204</v>
      </c>
      <c r="D201" s="110">
        <f>2 * Solver!$R$26 + 6 *A201 * Solver!$R$27</f>
        <v>0.14377731769036295</v>
      </c>
      <c r="E201" s="110">
        <f>(2 * Solver!$R$26 + 6 *A201 * Solver!$R$27)*constants!$B$12</f>
        <v>3.1250000000000389E-2</v>
      </c>
      <c r="F201" s="110">
        <f xml:space="preserve"> 6 *  Solver!$R$27 * constants!$B$12</f>
        <v>-1.5625000000000002</v>
      </c>
      <c r="G201" s="111">
        <f>IF(A201=Main!$E$6,F202-F201,IF(A201=Main!$G$6,F202-F201,IF(A201=Main!$C$6,F201,IF(A201=Main!$I$6,-F201,0))))</f>
        <v>0</v>
      </c>
    </row>
    <row r="202" spans="1:7" s="87" customFormat="1">
      <c r="A202" s="109">
        <f>99*(A203-A103)/100+A103</f>
        <v>1.99</v>
      </c>
      <c r="B202" s="110">
        <f>Solver!$R$24 + A202 * Solver!$R$25 +A202^ 2 * Solver!$R$26+A202^ 3 * Solver!$R$27</f>
        <v>-2.8754265393757805E-2</v>
      </c>
      <c r="C202" s="110">
        <f>Solver!$R$25+2*A202*Solver!$R$26+3*A202^2*Solver!$R$27</f>
        <v>2.8751869105129995</v>
      </c>
      <c r="D202" s="110">
        <f>2 * Solver!$R$26 + 6 *A202 * Solver!$R$27</f>
        <v>7.1888658845180586E-2</v>
      </c>
      <c r="E202" s="110">
        <f>(2 * Solver!$R$26 + 6 *A202 * Solver!$R$27)*constants!$B$12</f>
        <v>1.5625E-2</v>
      </c>
      <c r="F202" s="110">
        <f xml:space="preserve"> 6 *  Solver!$R$27 * constants!$B$12</f>
        <v>-1.5625000000000002</v>
      </c>
      <c r="G202" s="111">
        <f>IF(A202=Main!$E$6,F203-F202,IF(A202=Main!$G$6,F203-F202,IF(A202=Main!$C$6,F202,IF(A202=Main!$I$6,-F202,0))))</f>
        <v>0</v>
      </c>
    </row>
    <row r="203" spans="1:7" s="106" customFormat="1">
      <c r="A203" s="109">
        <f>Main!G6</f>
        <v>2</v>
      </c>
      <c r="B203" s="110">
        <f>Solver!$R$24 + A203 * Solver!$R$25 +A203^ 2 * Solver!$R$26+A203^ 3 * Solver!$R$27</f>
        <v>0</v>
      </c>
      <c r="C203" s="110">
        <f>Solver!$R$25+2*A203*Solver!$R$26+3*A203^2*Solver!$R$27</f>
        <v>2.8755463538072217</v>
      </c>
      <c r="D203" s="110">
        <f>2 * Solver!$R$26 + 6 *A203 * Solver!$R$27</f>
        <v>0</v>
      </c>
      <c r="E203" s="110">
        <f>(2 * Solver!$R$26 + 6 *A203 * Solver!$R$27)*constants!$B$12</f>
        <v>0</v>
      </c>
      <c r="F203" s="110">
        <f xml:space="preserve"> 6 *  Solver!$R$27 * constants!$B$12</f>
        <v>-1.5625000000000002</v>
      </c>
      <c r="G203" s="111">
        <f>IF(A203=Main!$E$6,F204-F203,IF(A203=Main!$G$6,F204-F203,IF(A203=Main!$C$6,F203,IF(A203=Main!$I$6,-F203,0))))</f>
        <v>1.5625000000000002</v>
      </c>
    </row>
    <row r="204" spans="1:7" s="87" customFormat="1">
      <c r="A204" s="109">
        <f>(A303-A203)/100+A203</f>
        <v>2.02</v>
      </c>
      <c r="B204" s="110">
        <f>Solver!$R$28 + A204 * Solver!$R$29 + A204 ^ 2 * Solver!$R$30 + A204 ^ 3 * Solver!$R$31</f>
        <v>5.7510927076144469E-2</v>
      </c>
      <c r="C204" s="110">
        <f>Solver!$R$29+2*A204*Solver!$R$30+3*A204^2*Solver!$R$31</f>
        <v>2.8755463538072239</v>
      </c>
      <c r="D204" s="110">
        <f xml:space="preserve">  2  *Solver!$R$30 + 6 * A204 * Solver!$R$31</f>
        <v>0</v>
      </c>
      <c r="E204" s="110">
        <f xml:space="preserve"> (2  *Solver!$R$30 + 6 * A204 * Solver!$R$31)*constants!$B$12</f>
        <v>0</v>
      </c>
      <c r="F204" s="110">
        <f xml:space="preserve"> 6 * Solver!$R$31* constants!$B$12</f>
        <v>0</v>
      </c>
      <c r="G204" s="111">
        <f>IF(A204=Main!$E$6,F205-F204,IF(A204=Main!$G$6,F205-F204,IF(A204=Main!$C$6,F204,IF(A204=Main!$I$6,-F204,0))))</f>
        <v>0</v>
      </c>
    </row>
    <row r="205" spans="1:7" s="87" customFormat="1">
      <c r="A205" s="109">
        <f>2*(A303-A203)/100+A203</f>
        <v>2.04</v>
      </c>
      <c r="B205" s="110">
        <f>Solver!$R$28 + A205 * Solver!$R$29 + A205 ^ 2 * Solver!$R$30 + A205 ^ 3 * Solver!$R$31</f>
        <v>0.11502185415228894</v>
      </c>
      <c r="C205" s="110">
        <f>Solver!$R$29+2*A205*Solver!$R$30+3*A205^2*Solver!$R$31</f>
        <v>2.8755463538072239</v>
      </c>
      <c r="D205" s="110">
        <f xml:space="preserve">  2  *Solver!$R$30 + 6 * A205 * Solver!$R$31</f>
        <v>0</v>
      </c>
      <c r="E205" s="110">
        <f xml:space="preserve"> (2  *Solver!$R$30 + 6 * A205 * Solver!$R$31)*constants!$B$12</f>
        <v>0</v>
      </c>
      <c r="F205" s="110">
        <f xml:space="preserve"> 6 * Solver!$R$31* constants!$B$12</f>
        <v>0</v>
      </c>
      <c r="G205" s="111">
        <f>IF(A205=Main!$E$6,F206-F205,IF(A205=Main!$G$6,F206-F205,IF(A205=Main!$C$6,F205,IF(A205=Main!$I$6,-F205,0))))</f>
        <v>0</v>
      </c>
    </row>
    <row r="206" spans="1:7" s="87" customFormat="1">
      <c r="A206" s="109">
        <f>3*(A303-A203)/100+A203</f>
        <v>2.06</v>
      </c>
      <c r="B206" s="110">
        <f>Solver!$R$28 + A206 * Solver!$R$29 + A206 ^ 2 * Solver!$R$30 + A206 ^ 3 * Solver!$R$31</f>
        <v>0.17253278122843341</v>
      </c>
      <c r="C206" s="110">
        <f>Solver!$R$29+2*A206*Solver!$R$30+3*A206^2*Solver!$R$31</f>
        <v>2.8755463538072239</v>
      </c>
      <c r="D206" s="110">
        <f xml:space="preserve">  2  *Solver!$R$30 + 6 * A206 * Solver!$R$31</f>
        <v>0</v>
      </c>
      <c r="E206" s="110">
        <f xml:space="preserve"> (2  *Solver!$R$30 + 6 * A206 * Solver!$R$31)*constants!$B$12</f>
        <v>0</v>
      </c>
      <c r="F206" s="110">
        <f xml:space="preserve"> 6 * Solver!$R$31* constants!$B$12</f>
        <v>0</v>
      </c>
      <c r="G206" s="111">
        <f>IF(A206=Main!$E$6,F207-F206,IF(A206=Main!$G$6,F207-F206,IF(A206=Main!$C$6,F206,IF(A206=Main!$I$6,-F206,0))))</f>
        <v>0</v>
      </c>
    </row>
    <row r="207" spans="1:7" s="87" customFormat="1">
      <c r="A207" s="109">
        <f>4*(A303-A203)/100+A203</f>
        <v>2.08</v>
      </c>
      <c r="B207" s="110">
        <f>Solver!$R$28 + A207 * Solver!$R$29 + A207 ^ 2 * Solver!$R$30 + A207 ^ 3 * Solver!$R$31</f>
        <v>0.23004370830457788</v>
      </c>
      <c r="C207" s="110">
        <f>Solver!$R$29+2*A207*Solver!$R$30+3*A207^2*Solver!$R$31</f>
        <v>2.8755463538072239</v>
      </c>
      <c r="D207" s="110">
        <f xml:space="preserve">  2  *Solver!$R$30 + 6 * A207 * Solver!$R$31</f>
        <v>0</v>
      </c>
      <c r="E207" s="110">
        <f xml:space="preserve"> (2  *Solver!$R$30 + 6 * A207 * Solver!$R$31)*constants!$B$12</f>
        <v>0</v>
      </c>
      <c r="F207" s="110">
        <f xml:space="preserve"> 6 * Solver!$R$31* constants!$B$12</f>
        <v>0</v>
      </c>
      <c r="G207" s="111">
        <f>IF(A207=Main!$E$6,F208-F207,IF(A207=Main!$G$6,F208-F207,IF(A207=Main!$C$6,F207,IF(A207=Main!$I$6,-F207,0))))</f>
        <v>0</v>
      </c>
    </row>
    <row r="208" spans="1:7">
      <c r="A208" s="109">
        <f>(A303-A203)/20+A203</f>
        <v>2.1</v>
      </c>
      <c r="B208" s="110">
        <f>Solver!$R$28 + A208 * Solver!$R$29 + A208 ^ 2 * Solver!$R$30 + A208 ^ 3 * Solver!$R$31</f>
        <v>0.28755463538072235</v>
      </c>
      <c r="C208" s="110">
        <f>Solver!$R$29+2*A208*Solver!$R$30+3*A208^2*Solver!$R$31</f>
        <v>2.8755463538072239</v>
      </c>
      <c r="D208" s="110">
        <f xml:space="preserve">  2  *Solver!$R$30 + 6 * A208 * Solver!$R$31</f>
        <v>0</v>
      </c>
      <c r="E208" s="110">
        <f xml:space="preserve"> (2  *Solver!$R$30 + 6 * A208 * Solver!$R$31)*constants!$B$12</f>
        <v>0</v>
      </c>
      <c r="F208" s="110">
        <f xml:space="preserve"> 6 * Solver!$R$31* constants!$B$12</f>
        <v>0</v>
      </c>
      <c r="G208" s="111">
        <f>IF(A208=Main!$E$6,F209-F208,IF(A208=Main!$G$6,F209-F208,IF(A208=Main!$C$6,F208,IF(A208=Main!$I$6,-F208,0))))</f>
        <v>0</v>
      </c>
    </row>
    <row r="209" spans="1:7" s="87" customFormat="1">
      <c r="A209" s="109">
        <f>6*(A303-A203)/100+A203</f>
        <v>2.12</v>
      </c>
      <c r="B209" s="110">
        <f>Solver!$R$28 + A209 * Solver!$R$29 + A209 ^ 2 * Solver!$R$30 + A209 ^ 3 * Solver!$R$31</f>
        <v>0.34506556245686681</v>
      </c>
      <c r="C209" s="110">
        <f>Solver!$R$29+2*A209*Solver!$R$30+3*A209^2*Solver!$R$31</f>
        <v>2.8755463538072239</v>
      </c>
      <c r="D209" s="110">
        <f xml:space="preserve">  2  *Solver!$R$30 + 6 * A209 * Solver!$R$31</f>
        <v>0</v>
      </c>
      <c r="E209" s="110">
        <f xml:space="preserve"> (2  *Solver!$R$30 + 6 * A209 * Solver!$R$31)*constants!$B$12</f>
        <v>0</v>
      </c>
      <c r="F209" s="110">
        <f xml:space="preserve"> 6 * Solver!$R$31* constants!$B$12</f>
        <v>0</v>
      </c>
      <c r="G209" s="111">
        <f>IF(A209=Main!$E$6,F210-F209,IF(A209=Main!$G$6,F210-F209,IF(A209=Main!$C$6,F209,IF(A209=Main!$I$6,-F209,0))))</f>
        <v>0</v>
      </c>
    </row>
    <row r="210" spans="1:7" s="87" customFormat="1">
      <c r="A210" s="109">
        <f>7*(A303-A203)/100+A203</f>
        <v>2.14</v>
      </c>
      <c r="B210" s="110">
        <f>Solver!$R$28 + A210 * Solver!$R$29 + A210 ^ 2 * Solver!$R$30 + A210 ^ 3 * Solver!$R$31</f>
        <v>0.40257648953301128</v>
      </c>
      <c r="C210" s="110">
        <f>Solver!$R$29+2*A210*Solver!$R$30+3*A210^2*Solver!$R$31</f>
        <v>2.8755463538072239</v>
      </c>
      <c r="D210" s="110">
        <f xml:space="preserve">  2  *Solver!$R$30 + 6 * A210 * Solver!$R$31</f>
        <v>0</v>
      </c>
      <c r="E210" s="110">
        <f xml:space="preserve"> (2  *Solver!$R$30 + 6 * A210 * Solver!$R$31)*constants!$B$12</f>
        <v>0</v>
      </c>
      <c r="F210" s="110">
        <f xml:space="preserve"> 6 * Solver!$R$31* constants!$B$12</f>
        <v>0</v>
      </c>
      <c r="G210" s="111">
        <f>IF(A210=Main!$E$6,F211-F210,IF(A210=Main!$G$6,F211-F210,IF(A210=Main!$C$6,F210,IF(A210=Main!$I$6,-F210,0))))</f>
        <v>0</v>
      </c>
    </row>
    <row r="211" spans="1:7" s="87" customFormat="1">
      <c r="A211" s="109">
        <f>8*(A303-A203)/100+A203</f>
        <v>2.16</v>
      </c>
      <c r="B211" s="110">
        <f>Solver!$R$28 + A211 * Solver!$R$29 + A211 ^ 2 * Solver!$R$30 + A211 ^ 3 * Solver!$R$31</f>
        <v>0.46008741660915664</v>
      </c>
      <c r="C211" s="110">
        <f>Solver!$R$29+2*A211*Solver!$R$30+3*A211^2*Solver!$R$31</f>
        <v>2.8755463538072239</v>
      </c>
      <c r="D211" s="110">
        <f xml:space="preserve">  2  *Solver!$R$30 + 6 * A211 * Solver!$R$31</f>
        <v>0</v>
      </c>
      <c r="E211" s="110">
        <f xml:space="preserve"> (2  *Solver!$R$30 + 6 * A211 * Solver!$R$31)*constants!$B$12</f>
        <v>0</v>
      </c>
      <c r="F211" s="110">
        <f xml:space="preserve"> 6 * Solver!$R$31* constants!$B$12</f>
        <v>0</v>
      </c>
      <c r="G211" s="111">
        <f>IF(A211=Main!$E$6,F212-F211,IF(A211=Main!$G$6,F212-F211,IF(A211=Main!$C$6,F211,IF(A211=Main!$I$6,-F211,0))))</f>
        <v>0</v>
      </c>
    </row>
    <row r="212" spans="1:7" s="87" customFormat="1">
      <c r="A212" s="109">
        <f>9*(A303-A203)/100+A203</f>
        <v>2.1800000000000002</v>
      </c>
      <c r="B212" s="110">
        <f>Solver!$R$28 + A212 * Solver!$R$29 + A212 ^ 2 * Solver!$R$30 + A212 ^ 3 * Solver!$R$31</f>
        <v>0.51759834368530111</v>
      </c>
      <c r="C212" s="110">
        <f>Solver!$R$29+2*A212*Solver!$R$30+3*A212^2*Solver!$R$31</f>
        <v>2.8755463538072239</v>
      </c>
      <c r="D212" s="110">
        <f xml:space="preserve">  2  *Solver!$R$30 + 6 * A212 * Solver!$R$31</f>
        <v>0</v>
      </c>
      <c r="E212" s="110">
        <f xml:space="preserve"> (2  *Solver!$R$30 + 6 * A212 * Solver!$R$31)*constants!$B$12</f>
        <v>0</v>
      </c>
      <c r="F212" s="110">
        <f xml:space="preserve"> 6 * Solver!$R$31* constants!$B$12</f>
        <v>0</v>
      </c>
      <c r="G212" s="111">
        <f>IF(A212=Main!$E$6,F213-F212,IF(A212=Main!$G$6,F213-F212,IF(A212=Main!$C$6,F212,IF(A212=Main!$I$6,-F212,0))))</f>
        <v>0</v>
      </c>
    </row>
    <row r="213" spans="1:7">
      <c r="A213" s="109">
        <f>(A303-A203)/10+A203</f>
        <v>2.2000000000000002</v>
      </c>
      <c r="B213" s="110">
        <f>Solver!$R$28 + A213 * Solver!$R$29 + A213 ^ 2 * Solver!$R$30 + A213 ^ 3 * Solver!$R$31</f>
        <v>0.57510927076144558</v>
      </c>
      <c r="C213" s="110">
        <f>Solver!$R$29+2*A213*Solver!$R$30+3*A213^2*Solver!$R$31</f>
        <v>2.8755463538072239</v>
      </c>
      <c r="D213" s="110">
        <f xml:space="preserve">  2  *Solver!$R$30 + 6 * A213 * Solver!$R$31</f>
        <v>0</v>
      </c>
      <c r="E213" s="110">
        <f xml:space="preserve"> (2  *Solver!$R$30 + 6 * A213 * Solver!$R$31)*constants!$B$12</f>
        <v>0</v>
      </c>
      <c r="F213" s="110">
        <f xml:space="preserve"> 6 * Solver!$R$31* constants!$B$12</f>
        <v>0</v>
      </c>
      <c r="G213" s="111">
        <f>IF(A213=Main!$E$6,F214-F213,IF(A213=Main!$G$6,F214-F213,IF(A213=Main!$C$6,F213,IF(A213=Main!$I$6,-F213,0))))</f>
        <v>0</v>
      </c>
    </row>
    <row r="214" spans="1:7" s="87" customFormat="1">
      <c r="A214" s="109">
        <f>11*(A303-A203)/100+A203</f>
        <v>2.2200000000000002</v>
      </c>
      <c r="B214" s="110">
        <f>Solver!$R$28 + A214 * Solver!$R$29 + A214 ^ 2 * Solver!$R$30 + A214 ^ 3 * Solver!$R$31</f>
        <v>0.63262019783759005</v>
      </c>
      <c r="C214" s="110">
        <f>Solver!$R$29+2*A214*Solver!$R$30+3*A214^2*Solver!$R$31</f>
        <v>2.8755463538072239</v>
      </c>
      <c r="D214" s="110">
        <f xml:space="preserve">  2  *Solver!$R$30 + 6 * A214 * Solver!$R$31</f>
        <v>0</v>
      </c>
      <c r="E214" s="110">
        <f xml:space="preserve"> (2  *Solver!$R$30 + 6 * A214 * Solver!$R$31)*constants!$B$12</f>
        <v>0</v>
      </c>
      <c r="F214" s="110">
        <f xml:space="preserve"> 6 * Solver!$R$31* constants!$B$12</f>
        <v>0</v>
      </c>
      <c r="G214" s="111">
        <f>IF(A214=Main!$E$6,F215-F214,IF(A214=Main!$G$6,F215-F214,IF(A214=Main!$C$6,F214,IF(A214=Main!$I$6,-F214,0))))</f>
        <v>0</v>
      </c>
    </row>
    <row r="215" spans="1:7" s="87" customFormat="1">
      <c r="A215" s="109">
        <f>12*(A303-A203)/100+A203</f>
        <v>2.2400000000000002</v>
      </c>
      <c r="B215" s="110">
        <f>Solver!$R$28 + A215 * Solver!$R$29 + A215 ^ 2 * Solver!$R$30 + A215 ^ 3 * Solver!$R$31</f>
        <v>0.69013112491373452</v>
      </c>
      <c r="C215" s="110">
        <f>Solver!$R$29+2*A215*Solver!$R$30+3*A215^2*Solver!$R$31</f>
        <v>2.8755463538072239</v>
      </c>
      <c r="D215" s="110">
        <f xml:space="preserve">  2  *Solver!$R$30 + 6 * A215 * Solver!$R$31</f>
        <v>0</v>
      </c>
      <c r="E215" s="110">
        <f xml:space="preserve"> (2  *Solver!$R$30 + 6 * A215 * Solver!$R$31)*constants!$B$12</f>
        <v>0</v>
      </c>
      <c r="F215" s="110">
        <f xml:space="preserve"> 6 * Solver!$R$31* constants!$B$12</f>
        <v>0</v>
      </c>
      <c r="G215" s="111">
        <f>IF(A215=Main!$E$6,F216-F215,IF(A215=Main!$G$6,F216-F215,IF(A215=Main!$C$6,F215,IF(A215=Main!$I$6,-F215,0))))</f>
        <v>0</v>
      </c>
    </row>
    <row r="216" spans="1:7" s="87" customFormat="1">
      <c r="A216" s="109">
        <f>13*(A303-A203)/100+A203</f>
        <v>2.2599999999999998</v>
      </c>
      <c r="B216" s="110">
        <f>Solver!$R$28 + A216 * Solver!$R$29 + A216 ^ 2 * Solver!$R$30 + A216 ^ 3 * Solver!$R$31</f>
        <v>0.74764205198987721</v>
      </c>
      <c r="C216" s="110">
        <f>Solver!$R$29+2*A216*Solver!$R$30+3*A216^2*Solver!$R$31</f>
        <v>2.8755463538072239</v>
      </c>
      <c r="D216" s="110">
        <f xml:space="preserve">  2  *Solver!$R$30 + 6 * A216 * Solver!$R$31</f>
        <v>0</v>
      </c>
      <c r="E216" s="110">
        <f xml:space="preserve"> (2  *Solver!$R$30 + 6 * A216 * Solver!$R$31)*constants!$B$12</f>
        <v>0</v>
      </c>
      <c r="F216" s="110">
        <f xml:space="preserve"> 6 * Solver!$R$31* constants!$B$12</f>
        <v>0</v>
      </c>
      <c r="G216" s="111">
        <f>IF(A216=Main!$E$6,F217-F216,IF(A216=Main!$G$6,F217-F216,IF(A216=Main!$C$6,F216,IF(A216=Main!$I$6,-F216,0))))</f>
        <v>0</v>
      </c>
    </row>
    <row r="217" spans="1:7" s="87" customFormat="1">
      <c r="A217" s="109">
        <f>14*(A303-A203)/100+A203</f>
        <v>2.2800000000000002</v>
      </c>
      <c r="B217" s="110">
        <f>Solver!$R$28 + A217 * Solver!$R$29 + A217 ^ 2 * Solver!$R$30 + A217 ^ 3 * Solver!$R$31</f>
        <v>0.80515297906602346</v>
      </c>
      <c r="C217" s="110">
        <f>Solver!$R$29+2*A217*Solver!$R$30+3*A217^2*Solver!$R$31</f>
        <v>2.8755463538072239</v>
      </c>
      <c r="D217" s="110">
        <f xml:space="preserve">  2  *Solver!$R$30 + 6 * A217 * Solver!$R$31</f>
        <v>0</v>
      </c>
      <c r="E217" s="110">
        <f xml:space="preserve"> (2  *Solver!$R$30 + 6 * A217 * Solver!$R$31)*constants!$B$12</f>
        <v>0</v>
      </c>
      <c r="F217" s="110">
        <f xml:space="preserve"> 6 * Solver!$R$31* constants!$B$12</f>
        <v>0</v>
      </c>
      <c r="G217" s="111">
        <f>IF(A217=Main!$E$6,F218-F217,IF(A217=Main!$G$6,F218-F217,IF(A217=Main!$C$6,F217,IF(A217=Main!$I$6,-F217,0))))</f>
        <v>0</v>
      </c>
    </row>
    <row r="218" spans="1:7">
      <c r="A218" s="109">
        <f>3*(A303-A203)/20+A203</f>
        <v>2.2999999999999998</v>
      </c>
      <c r="B218" s="110">
        <f>Solver!$R$28 + A218 * Solver!$R$29 + A218 ^ 2 * Solver!$R$30 + A218 ^ 3 * Solver!$R$31</f>
        <v>0.86266390614216704</v>
      </c>
      <c r="C218" s="110">
        <f>Solver!$R$29+2*A218*Solver!$R$30+3*A218^2*Solver!$R$31</f>
        <v>2.8755463538072239</v>
      </c>
      <c r="D218" s="110">
        <f xml:space="preserve">  2  *Solver!$R$30 + 6 * A218 * Solver!$R$31</f>
        <v>0</v>
      </c>
      <c r="E218" s="110">
        <f xml:space="preserve"> (2  *Solver!$R$30 + 6 * A218 * Solver!$R$31)*constants!$B$12</f>
        <v>0</v>
      </c>
      <c r="F218" s="110">
        <f xml:space="preserve"> 6 * Solver!$R$31* constants!$B$12</f>
        <v>0</v>
      </c>
      <c r="G218" s="111">
        <f>IF(A218=Main!$E$6,F219-F218,IF(A218=Main!$G$6,F219-F218,IF(A218=Main!$C$6,F218,IF(A218=Main!$I$6,-F218,0))))</f>
        <v>0</v>
      </c>
    </row>
    <row r="219" spans="1:7" s="87" customFormat="1">
      <c r="A219" s="109">
        <f>16*(A303-A203)/100+A203</f>
        <v>2.3199999999999998</v>
      </c>
      <c r="B219" s="110">
        <f>Solver!$R$28 + A219 * Solver!$R$29 + A219 ^ 2 * Solver!$R$30 + A219 ^ 3 * Solver!$R$31</f>
        <v>0.92017483321831151</v>
      </c>
      <c r="C219" s="110">
        <f>Solver!$R$29+2*A219*Solver!$R$30+3*A219^2*Solver!$R$31</f>
        <v>2.8755463538072239</v>
      </c>
      <c r="D219" s="110">
        <f xml:space="preserve">  2  *Solver!$R$30 + 6 * A219 * Solver!$R$31</f>
        <v>0</v>
      </c>
      <c r="E219" s="110">
        <f xml:space="preserve"> (2  *Solver!$R$30 + 6 * A219 * Solver!$R$31)*constants!$B$12</f>
        <v>0</v>
      </c>
      <c r="F219" s="110">
        <f xml:space="preserve"> 6 * Solver!$R$31* constants!$B$12</f>
        <v>0</v>
      </c>
      <c r="G219" s="111">
        <f>IF(A219=Main!$E$6,F220-F219,IF(A219=Main!$G$6,F220-F219,IF(A219=Main!$C$6,F219,IF(A219=Main!$I$6,-F219,0))))</f>
        <v>0</v>
      </c>
    </row>
    <row r="220" spans="1:7" s="87" customFormat="1">
      <c r="A220" s="109">
        <f>17*(A303-A203)/100+A203</f>
        <v>2.34</v>
      </c>
      <c r="B220" s="110">
        <f>Solver!$R$28 + A220 * Solver!$R$29 + A220 ^ 2 * Solver!$R$30 + A220 ^ 3 * Solver!$R$31</f>
        <v>0.97768576029445597</v>
      </c>
      <c r="C220" s="110">
        <f>Solver!$R$29+2*A220*Solver!$R$30+3*A220^2*Solver!$R$31</f>
        <v>2.8755463538072239</v>
      </c>
      <c r="D220" s="110">
        <f xml:space="preserve">  2  *Solver!$R$30 + 6 * A220 * Solver!$R$31</f>
        <v>0</v>
      </c>
      <c r="E220" s="110">
        <f xml:space="preserve"> (2  *Solver!$R$30 + 6 * A220 * Solver!$R$31)*constants!$B$12</f>
        <v>0</v>
      </c>
      <c r="F220" s="110">
        <f xml:space="preserve"> 6 * Solver!$R$31* constants!$B$12</f>
        <v>0</v>
      </c>
      <c r="G220" s="111">
        <f>IF(A220=Main!$E$6,F221-F220,IF(A220=Main!$G$6,F221-F220,IF(A220=Main!$C$6,F220,IF(A220=Main!$I$6,-F220,0))))</f>
        <v>0</v>
      </c>
    </row>
    <row r="221" spans="1:7" s="87" customFormat="1">
      <c r="A221" s="109">
        <f>18*(A303-A203)/100+A203</f>
        <v>2.36</v>
      </c>
      <c r="B221" s="110">
        <f>Solver!$R$28 + A221 * Solver!$R$29 + A221 ^ 2 * Solver!$R$30 + A221 ^ 3 * Solver!$R$31</f>
        <v>1.0351966873706004</v>
      </c>
      <c r="C221" s="110">
        <f>Solver!$R$29+2*A221*Solver!$R$30+3*A221^2*Solver!$R$31</f>
        <v>2.8755463538072239</v>
      </c>
      <c r="D221" s="110">
        <f xml:space="preserve">  2  *Solver!$R$30 + 6 * A221 * Solver!$R$31</f>
        <v>0</v>
      </c>
      <c r="E221" s="110">
        <f xml:space="preserve"> (2  *Solver!$R$30 + 6 * A221 * Solver!$R$31)*constants!$B$12</f>
        <v>0</v>
      </c>
      <c r="F221" s="110">
        <f xml:space="preserve"> 6 * Solver!$R$31* constants!$B$12</f>
        <v>0</v>
      </c>
      <c r="G221" s="111">
        <f>IF(A221=Main!$E$6,F222-F221,IF(A221=Main!$G$6,F222-F221,IF(A221=Main!$C$6,F221,IF(A221=Main!$I$6,-F221,0))))</f>
        <v>0</v>
      </c>
    </row>
    <row r="222" spans="1:7" s="87" customFormat="1">
      <c r="A222" s="109">
        <f>19*(A303-A203)/100+A203</f>
        <v>2.38</v>
      </c>
      <c r="B222" s="110">
        <f>Solver!$R$28 + A222 * Solver!$R$29 + A222 ^ 2 * Solver!$R$30 + A222 ^ 3 * Solver!$R$31</f>
        <v>1.0927076144467449</v>
      </c>
      <c r="C222" s="110">
        <f>Solver!$R$29+2*A222*Solver!$R$30+3*A222^2*Solver!$R$31</f>
        <v>2.8755463538072239</v>
      </c>
      <c r="D222" s="110">
        <f xml:space="preserve">  2  *Solver!$R$30 + 6 * A222 * Solver!$R$31</f>
        <v>0</v>
      </c>
      <c r="E222" s="110">
        <f xml:space="preserve"> (2  *Solver!$R$30 + 6 * A222 * Solver!$R$31)*constants!$B$12</f>
        <v>0</v>
      </c>
      <c r="F222" s="110">
        <f xml:space="preserve"> 6 * Solver!$R$31* constants!$B$12</f>
        <v>0</v>
      </c>
      <c r="G222" s="111">
        <f>IF(A222=Main!$E$6,F223-F222,IF(A222=Main!$G$6,F223-F222,IF(A222=Main!$C$6,F222,IF(A222=Main!$I$6,-F222,0))))</f>
        <v>0</v>
      </c>
    </row>
    <row r="223" spans="1:7">
      <c r="A223" s="109">
        <f>(A303-A203)/5+A203</f>
        <v>2.4</v>
      </c>
      <c r="B223" s="110">
        <f>Solver!$R$28 + A223 * Solver!$R$29 + A223 ^ 2 * Solver!$R$30 + A223 ^ 3 * Solver!$R$31</f>
        <v>1.1502185415228894</v>
      </c>
      <c r="C223" s="110">
        <f>Solver!$R$29+2*A223*Solver!$R$30+3*A223^2*Solver!$R$31</f>
        <v>2.8755463538072239</v>
      </c>
      <c r="D223" s="110">
        <f xml:space="preserve">  2  *Solver!$R$30 + 6 * A223 * Solver!$R$31</f>
        <v>0</v>
      </c>
      <c r="E223" s="110">
        <f xml:space="preserve"> (2  *Solver!$R$30 + 6 * A223 * Solver!$R$31)*constants!$B$12</f>
        <v>0</v>
      </c>
      <c r="F223" s="110">
        <f xml:space="preserve"> 6 * Solver!$R$31* constants!$B$12</f>
        <v>0</v>
      </c>
      <c r="G223" s="111">
        <f>IF(A223=Main!$E$6,F224-F223,IF(A223=Main!$G$6,F224-F223,IF(A223=Main!$C$6,F223,IF(A223=Main!$I$6,-F223,0))))</f>
        <v>0</v>
      </c>
    </row>
    <row r="224" spans="1:7" s="87" customFormat="1">
      <c r="A224" s="109">
        <f>21*(A303-A203)/100+A203</f>
        <v>2.42</v>
      </c>
      <c r="B224" s="110">
        <f>Solver!$R$28 + A224 * Solver!$R$29 + A224 ^ 2 * Solver!$R$30 + A224 ^ 3 * Solver!$R$31</f>
        <v>1.2077294685990339</v>
      </c>
      <c r="C224" s="110">
        <f>Solver!$R$29+2*A224*Solver!$R$30+3*A224^2*Solver!$R$31</f>
        <v>2.8755463538072239</v>
      </c>
      <c r="D224" s="110">
        <f xml:space="preserve">  2  *Solver!$R$30 + 6 * A224 * Solver!$R$31</f>
        <v>0</v>
      </c>
      <c r="E224" s="110">
        <f xml:space="preserve"> (2  *Solver!$R$30 + 6 * A224 * Solver!$R$31)*constants!$B$12</f>
        <v>0</v>
      </c>
      <c r="F224" s="110">
        <f xml:space="preserve"> 6 * Solver!$R$31* constants!$B$12</f>
        <v>0</v>
      </c>
      <c r="G224" s="111">
        <f>IF(A224=Main!$E$6,F225-F224,IF(A224=Main!$G$6,F225-F224,IF(A224=Main!$C$6,F224,IF(A224=Main!$I$6,-F224,0))))</f>
        <v>0</v>
      </c>
    </row>
    <row r="225" spans="1:7" s="87" customFormat="1">
      <c r="A225" s="109">
        <f>22*(A303-A203)/100+A203</f>
        <v>2.44</v>
      </c>
      <c r="B225" s="110">
        <f>Solver!$R$28 + A225 * Solver!$R$29 + A225 ^ 2 * Solver!$R$30 + A225 ^ 3 * Solver!$R$31</f>
        <v>1.2652403956751783</v>
      </c>
      <c r="C225" s="110">
        <f>Solver!$R$29+2*A225*Solver!$R$30+3*A225^2*Solver!$R$31</f>
        <v>2.8755463538072239</v>
      </c>
      <c r="D225" s="110">
        <f xml:space="preserve">  2  *Solver!$R$30 + 6 * A225 * Solver!$R$31</f>
        <v>0</v>
      </c>
      <c r="E225" s="110">
        <f xml:space="preserve"> (2  *Solver!$R$30 + 6 * A225 * Solver!$R$31)*constants!$B$12</f>
        <v>0</v>
      </c>
      <c r="F225" s="110">
        <f xml:space="preserve"> 6 * Solver!$R$31* constants!$B$12</f>
        <v>0</v>
      </c>
      <c r="G225" s="111">
        <f>IF(A225=Main!$E$6,F226-F225,IF(A225=Main!$G$6,F226-F225,IF(A225=Main!$C$6,F225,IF(A225=Main!$I$6,-F225,0))))</f>
        <v>0</v>
      </c>
    </row>
    <row r="226" spans="1:7" s="87" customFormat="1">
      <c r="A226" s="109">
        <f>23*(A303-A203)/100+A203</f>
        <v>2.46</v>
      </c>
      <c r="B226" s="110">
        <f>Solver!$R$28 + A226 * Solver!$R$29 + A226 ^ 2 * Solver!$R$30 + A226 ^ 3 * Solver!$R$31</f>
        <v>1.3227513227513228</v>
      </c>
      <c r="C226" s="110">
        <f>Solver!$R$29+2*A226*Solver!$R$30+3*A226^2*Solver!$R$31</f>
        <v>2.8755463538072239</v>
      </c>
      <c r="D226" s="110">
        <f xml:space="preserve">  2  *Solver!$R$30 + 6 * A226 * Solver!$R$31</f>
        <v>0</v>
      </c>
      <c r="E226" s="110">
        <f xml:space="preserve"> (2  *Solver!$R$30 + 6 * A226 * Solver!$R$31)*constants!$B$12</f>
        <v>0</v>
      </c>
      <c r="F226" s="110">
        <f xml:space="preserve"> 6 * Solver!$R$31* constants!$B$12</f>
        <v>0</v>
      </c>
      <c r="G226" s="111">
        <f>IF(A226=Main!$E$6,F227-F226,IF(A226=Main!$G$6,F227-F226,IF(A226=Main!$C$6,F226,IF(A226=Main!$I$6,-F226,0))))</f>
        <v>0</v>
      </c>
    </row>
    <row r="227" spans="1:7" s="87" customFormat="1">
      <c r="A227" s="109">
        <f>24*(A303-A203)/100+A203</f>
        <v>2.48</v>
      </c>
      <c r="B227" s="110">
        <f>Solver!$R$28 + A227 * Solver!$R$29 + A227 ^ 2 * Solver!$R$30 + A227 ^ 3 * Solver!$R$31</f>
        <v>1.3802622498274673</v>
      </c>
      <c r="C227" s="110">
        <f>Solver!$R$29+2*A227*Solver!$R$30+3*A227^2*Solver!$R$31</f>
        <v>2.8755463538072239</v>
      </c>
      <c r="D227" s="110">
        <f xml:space="preserve">  2  *Solver!$R$30 + 6 * A227 * Solver!$R$31</f>
        <v>0</v>
      </c>
      <c r="E227" s="110">
        <f xml:space="preserve"> (2  *Solver!$R$30 + 6 * A227 * Solver!$R$31)*constants!$B$12</f>
        <v>0</v>
      </c>
      <c r="F227" s="110">
        <f xml:space="preserve"> 6 * Solver!$R$31* constants!$B$12</f>
        <v>0</v>
      </c>
      <c r="G227" s="111">
        <f>IF(A227=Main!$E$6,F228-F227,IF(A227=Main!$G$6,F228-F227,IF(A227=Main!$C$6,F227,IF(A227=Main!$I$6,-F227,0))))</f>
        <v>0</v>
      </c>
    </row>
    <row r="228" spans="1:7">
      <c r="A228" s="109">
        <f>(A303-A203)/4+A203</f>
        <v>2.5</v>
      </c>
      <c r="B228" s="110">
        <f>Solver!$R$28 + A228 * Solver!$R$29 + A228 ^ 2 * Solver!$R$30 + A228 ^ 3 * Solver!$R$31</f>
        <v>1.4377731769036117</v>
      </c>
      <c r="C228" s="110">
        <f>Solver!$R$29+2*A228*Solver!$R$30+3*A228^2*Solver!$R$31</f>
        <v>2.8755463538072239</v>
      </c>
      <c r="D228" s="110">
        <f xml:space="preserve">  2  *Solver!$R$30 + 6 * A228 * Solver!$R$31</f>
        <v>0</v>
      </c>
      <c r="E228" s="110">
        <f xml:space="preserve"> (2  *Solver!$R$30 + 6 * A228 * Solver!$R$31)*constants!$B$12</f>
        <v>0</v>
      </c>
      <c r="F228" s="110">
        <f xml:space="preserve"> 6 * Solver!$R$31* constants!$B$12</f>
        <v>0</v>
      </c>
      <c r="G228" s="111">
        <f>IF(A228=Main!$E$6,F229-F228,IF(A228=Main!$G$6,F229-F228,IF(A228=Main!$C$6,F228,IF(A228=Main!$I$6,-F228,0))))</f>
        <v>0</v>
      </c>
    </row>
    <row r="229" spans="1:7" s="87" customFormat="1">
      <c r="A229" s="109">
        <f>26*(A303-A203)/100+A203</f>
        <v>2.52</v>
      </c>
      <c r="B229" s="110">
        <f>Solver!$R$28 + A229 * Solver!$R$29 + A229 ^ 2 * Solver!$R$30 + A229 ^ 3 * Solver!$R$31</f>
        <v>1.4952841039797562</v>
      </c>
      <c r="C229" s="110">
        <f>Solver!$R$29+2*A229*Solver!$R$30+3*A229^2*Solver!$R$31</f>
        <v>2.8755463538072239</v>
      </c>
      <c r="D229" s="110">
        <f xml:space="preserve">  2  *Solver!$R$30 + 6 * A229 * Solver!$R$31</f>
        <v>0</v>
      </c>
      <c r="E229" s="110">
        <f xml:space="preserve"> (2  *Solver!$R$30 + 6 * A229 * Solver!$R$31)*constants!$B$12</f>
        <v>0</v>
      </c>
      <c r="F229" s="110">
        <f xml:space="preserve"> 6 * Solver!$R$31* constants!$B$12</f>
        <v>0</v>
      </c>
      <c r="G229" s="111">
        <f>IF(A229=Main!$E$6,F230-F229,IF(A229=Main!$G$6,F230-F229,IF(A229=Main!$C$6,F229,IF(A229=Main!$I$6,-F229,0))))</f>
        <v>0</v>
      </c>
    </row>
    <row r="230" spans="1:7" s="87" customFormat="1">
      <c r="A230" s="109">
        <f>27*(A303-A203)/100+A203</f>
        <v>2.54</v>
      </c>
      <c r="B230" s="110">
        <f>Solver!$R$28 + A230 * Solver!$R$29 + A230 ^ 2 * Solver!$R$30 + A230 ^ 3 * Solver!$R$31</f>
        <v>1.5527950310559007</v>
      </c>
      <c r="C230" s="110">
        <f>Solver!$R$29+2*A230*Solver!$R$30+3*A230^2*Solver!$R$31</f>
        <v>2.8755463538072239</v>
      </c>
      <c r="D230" s="110">
        <f xml:space="preserve">  2  *Solver!$R$30 + 6 * A230 * Solver!$R$31</f>
        <v>0</v>
      </c>
      <c r="E230" s="110">
        <f xml:space="preserve"> (2  *Solver!$R$30 + 6 * A230 * Solver!$R$31)*constants!$B$12</f>
        <v>0</v>
      </c>
      <c r="F230" s="110">
        <f xml:space="preserve"> 6 * Solver!$R$31* constants!$B$12</f>
        <v>0</v>
      </c>
      <c r="G230" s="111">
        <f>IF(A230=Main!$E$6,F231-F230,IF(A230=Main!$G$6,F231-F230,IF(A230=Main!$C$6,F230,IF(A230=Main!$I$6,-F230,0))))</f>
        <v>0</v>
      </c>
    </row>
    <row r="231" spans="1:7" s="87" customFormat="1">
      <c r="A231" s="109">
        <f>28*(A303-A203)/100+A203</f>
        <v>2.56</v>
      </c>
      <c r="B231" s="110">
        <f>Solver!$R$28 + A231 * Solver!$R$29 + A231 ^ 2 * Solver!$R$30 + A231 ^ 3 * Solver!$R$31</f>
        <v>1.6103059581320451</v>
      </c>
      <c r="C231" s="110">
        <f>Solver!$R$29+2*A231*Solver!$R$30+3*A231^2*Solver!$R$31</f>
        <v>2.8755463538072239</v>
      </c>
      <c r="D231" s="110">
        <f xml:space="preserve">  2  *Solver!$R$30 + 6 * A231 * Solver!$R$31</f>
        <v>0</v>
      </c>
      <c r="E231" s="110">
        <f xml:space="preserve"> (2  *Solver!$R$30 + 6 * A231 * Solver!$R$31)*constants!$B$12</f>
        <v>0</v>
      </c>
      <c r="F231" s="110">
        <f xml:space="preserve"> 6 * Solver!$R$31* constants!$B$12</f>
        <v>0</v>
      </c>
      <c r="G231" s="111">
        <f>IF(A231=Main!$E$6,F232-F231,IF(A231=Main!$G$6,F232-F231,IF(A231=Main!$C$6,F231,IF(A231=Main!$I$6,-F231,0))))</f>
        <v>0</v>
      </c>
    </row>
    <row r="232" spans="1:7" s="87" customFormat="1">
      <c r="A232" s="109">
        <f>29*(A303-A203)/100+A203</f>
        <v>2.58</v>
      </c>
      <c r="B232" s="110">
        <f>Solver!$R$28 + A232 * Solver!$R$29 + A232 ^ 2 * Solver!$R$30 + A232 ^ 3 * Solver!$R$31</f>
        <v>1.6678168852081905</v>
      </c>
      <c r="C232" s="110">
        <f>Solver!$R$29+2*A232*Solver!$R$30+3*A232^2*Solver!$R$31</f>
        <v>2.8755463538072239</v>
      </c>
      <c r="D232" s="110">
        <f xml:space="preserve">  2  *Solver!$R$30 + 6 * A232 * Solver!$R$31</f>
        <v>0</v>
      </c>
      <c r="E232" s="110">
        <f xml:space="preserve"> (2  *Solver!$R$30 + 6 * A232 * Solver!$R$31)*constants!$B$12</f>
        <v>0</v>
      </c>
      <c r="F232" s="110">
        <f xml:space="preserve"> 6 * Solver!$R$31* constants!$B$12</f>
        <v>0</v>
      </c>
      <c r="G232" s="111">
        <f>IF(A232=Main!$E$6,F233-F232,IF(A232=Main!$G$6,F233-F232,IF(A232=Main!$C$6,F232,IF(A232=Main!$I$6,-F232,0))))</f>
        <v>0</v>
      </c>
    </row>
    <row r="233" spans="1:7">
      <c r="A233" s="109">
        <f>6*(A303-A203)/20+A203</f>
        <v>2.6</v>
      </c>
      <c r="B233" s="110">
        <f>Solver!$R$28 + A233 * Solver!$R$29 + A233 ^ 2 * Solver!$R$30 + A233 ^ 3 * Solver!$R$31</f>
        <v>1.725327812284335</v>
      </c>
      <c r="C233" s="110">
        <f>Solver!$R$29+2*A233*Solver!$R$30+3*A233^2*Solver!$R$31</f>
        <v>2.8755463538072239</v>
      </c>
      <c r="D233" s="110">
        <f xml:space="preserve">  2  *Solver!$R$30 + 6 * A233 * Solver!$R$31</f>
        <v>0</v>
      </c>
      <c r="E233" s="110">
        <f xml:space="preserve"> (2  *Solver!$R$30 + 6 * A233 * Solver!$R$31)*constants!$B$12</f>
        <v>0</v>
      </c>
      <c r="F233" s="110">
        <f xml:space="preserve"> 6 * Solver!$R$31* constants!$B$12</f>
        <v>0</v>
      </c>
      <c r="G233" s="111">
        <f>IF(A233=Main!$E$6,F234-F233,IF(A233=Main!$G$6,F234-F233,IF(A233=Main!$C$6,F233,IF(A233=Main!$I$6,-F233,0))))</f>
        <v>0</v>
      </c>
    </row>
    <row r="234" spans="1:7" s="87" customFormat="1">
      <c r="A234" s="112">
        <f>31*(A303-A203)/100+A203</f>
        <v>2.62</v>
      </c>
      <c r="B234" s="110">
        <f>Solver!$R$28 + A234 * Solver!$R$29 + A234 ^ 2 * Solver!$R$30 + A234 ^ 3 * Solver!$R$31</f>
        <v>1.7828387393604794</v>
      </c>
      <c r="C234" s="110">
        <f>Solver!$R$29+2*A234*Solver!$R$30+3*A234^2*Solver!$R$31</f>
        <v>2.8755463538072239</v>
      </c>
      <c r="D234" s="110">
        <f xml:space="preserve">  2  *Solver!$R$30 + 6 * A234 * Solver!$R$31</f>
        <v>0</v>
      </c>
      <c r="E234" s="110">
        <f xml:space="preserve"> (2  *Solver!$R$30 + 6 * A234 * Solver!$R$31)*constants!$B$12</f>
        <v>0</v>
      </c>
      <c r="F234" s="110">
        <f xml:space="preserve"> 6 * Solver!$R$31* constants!$B$12</f>
        <v>0</v>
      </c>
      <c r="G234" s="111">
        <f>IF(A234=Main!$E$6,F235-F234,IF(A234=Main!$G$6,F235-F234,IF(A234=Main!$C$6,F234,IF(A234=Main!$I$6,-F234,0))))</f>
        <v>0</v>
      </c>
    </row>
    <row r="235" spans="1:7" s="87" customFormat="1">
      <c r="A235" s="112">
        <f>32*(A303-A203)/100+A203</f>
        <v>2.64</v>
      </c>
      <c r="B235" s="110">
        <f>Solver!$R$28 + A235 * Solver!$R$29 + A235 ^ 2 * Solver!$R$30 + A235 ^ 3 * Solver!$R$31</f>
        <v>1.8403496664366239</v>
      </c>
      <c r="C235" s="110">
        <f>Solver!$R$29+2*A235*Solver!$R$30+3*A235^2*Solver!$R$31</f>
        <v>2.8755463538072239</v>
      </c>
      <c r="D235" s="110">
        <f xml:space="preserve">  2  *Solver!$R$30 + 6 * A235 * Solver!$R$31</f>
        <v>0</v>
      </c>
      <c r="E235" s="110">
        <f xml:space="preserve"> (2  *Solver!$R$30 + 6 * A235 * Solver!$R$31)*constants!$B$12</f>
        <v>0</v>
      </c>
      <c r="F235" s="110">
        <f xml:space="preserve"> 6 * Solver!$R$31* constants!$B$12</f>
        <v>0</v>
      </c>
      <c r="G235" s="111">
        <f>IF(A235=Main!$E$6,F236-F235,IF(A235=Main!$G$6,F236-F235,IF(A235=Main!$C$6,F235,IF(A235=Main!$I$6,-F235,0))))</f>
        <v>0</v>
      </c>
    </row>
    <row r="236" spans="1:7" s="87" customFormat="1">
      <c r="A236" s="112">
        <f>33*(A303-A203)/100+A203</f>
        <v>2.66</v>
      </c>
      <c r="B236" s="110">
        <f>Solver!$R$28 + A236 * Solver!$R$29 + A236 ^ 2 * Solver!$R$30 + A236 ^ 3 * Solver!$R$31</f>
        <v>1.8978605935127684</v>
      </c>
      <c r="C236" s="110">
        <f>Solver!$R$29+2*A236*Solver!$R$30+3*A236^2*Solver!$R$31</f>
        <v>2.8755463538072239</v>
      </c>
      <c r="D236" s="110">
        <f xml:space="preserve">  2  *Solver!$R$30 + 6 * A236 * Solver!$R$31</f>
        <v>0</v>
      </c>
      <c r="E236" s="110">
        <f xml:space="preserve"> (2  *Solver!$R$30 + 6 * A236 * Solver!$R$31)*constants!$B$12</f>
        <v>0</v>
      </c>
      <c r="F236" s="110">
        <f xml:space="preserve"> 6 * Solver!$R$31* constants!$B$12</f>
        <v>0</v>
      </c>
      <c r="G236" s="111">
        <f>IF(A236=Main!$E$6,F237-F236,IF(A236=Main!$G$6,F237-F236,IF(A236=Main!$C$6,F236,IF(A236=Main!$I$6,-F236,0))))</f>
        <v>0</v>
      </c>
    </row>
    <row r="237" spans="1:7" s="87" customFormat="1">
      <c r="A237" s="112">
        <f>34*(A303-A203)/100+A203</f>
        <v>2.68</v>
      </c>
      <c r="B237" s="110">
        <f>Solver!$R$28 + A237 * Solver!$R$29 + A237 ^ 2 * Solver!$R$30 + A237 ^ 3 * Solver!$R$31</f>
        <v>1.9553715205889128</v>
      </c>
      <c r="C237" s="110">
        <f>Solver!$R$29+2*A237*Solver!$R$30+3*A237^2*Solver!$R$31</f>
        <v>2.8755463538072239</v>
      </c>
      <c r="D237" s="110">
        <f xml:space="preserve">  2  *Solver!$R$30 + 6 * A237 * Solver!$R$31</f>
        <v>0</v>
      </c>
      <c r="E237" s="110">
        <f xml:space="preserve"> (2  *Solver!$R$30 + 6 * A237 * Solver!$R$31)*constants!$B$12</f>
        <v>0</v>
      </c>
      <c r="F237" s="110">
        <f xml:space="preserve"> 6 * Solver!$R$31* constants!$B$12</f>
        <v>0</v>
      </c>
      <c r="G237" s="111">
        <f>IF(A237=Main!$E$6,F238-F237,IF(A237=Main!$G$6,F238-F237,IF(A237=Main!$C$6,F237,IF(A237=Main!$I$6,-F237,0))))</f>
        <v>0</v>
      </c>
    </row>
    <row r="238" spans="1:7">
      <c r="A238" s="109">
        <f>7*(A303-A203)/20+A203</f>
        <v>2.7</v>
      </c>
      <c r="B238" s="110">
        <f>Solver!$R$28 + A238 * Solver!$R$29 + A238 ^ 2 * Solver!$R$30 + A238 ^ 3 * Solver!$R$31</f>
        <v>2.0128824476650573</v>
      </c>
      <c r="C238" s="110">
        <f>Solver!$R$29+2*A238*Solver!$R$30+3*A238^2*Solver!$R$31</f>
        <v>2.8755463538072239</v>
      </c>
      <c r="D238" s="110">
        <f xml:space="preserve">  2  *Solver!$R$30 + 6 * A238 * Solver!$R$31</f>
        <v>0</v>
      </c>
      <c r="E238" s="110">
        <f xml:space="preserve"> (2  *Solver!$R$30 + 6 * A238 * Solver!$R$31)*constants!$B$12</f>
        <v>0</v>
      </c>
      <c r="F238" s="110">
        <f xml:space="preserve"> 6 * Solver!$R$31* constants!$B$12</f>
        <v>0</v>
      </c>
      <c r="G238" s="111">
        <f>IF(A238=Main!$E$6,F239-F238,IF(A238=Main!$G$6,F239-F238,IF(A238=Main!$C$6,F238,IF(A238=Main!$I$6,-F238,0))))</f>
        <v>0</v>
      </c>
    </row>
    <row r="239" spans="1:7" s="87" customFormat="1">
      <c r="A239" s="112">
        <f>36*(A303-A203)/100+A203</f>
        <v>2.7199999999999998</v>
      </c>
      <c r="B239" s="110">
        <f>Solver!$R$28 + A239 * Solver!$R$29 + A239 ^ 2 * Solver!$R$30 + A239 ^ 3 * Solver!$R$31</f>
        <v>2.0703933747412009</v>
      </c>
      <c r="C239" s="110">
        <f>Solver!$R$29+2*A239*Solver!$R$30+3*A239^2*Solver!$R$31</f>
        <v>2.8755463538072239</v>
      </c>
      <c r="D239" s="110">
        <f xml:space="preserve">  2  *Solver!$R$30 + 6 * A239 * Solver!$R$31</f>
        <v>0</v>
      </c>
      <c r="E239" s="110">
        <f xml:space="preserve"> (2  *Solver!$R$30 + 6 * A239 * Solver!$R$31)*constants!$B$12</f>
        <v>0</v>
      </c>
      <c r="F239" s="110">
        <f xml:space="preserve"> 6 * Solver!$R$31* constants!$B$12</f>
        <v>0</v>
      </c>
      <c r="G239" s="111">
        <f>IF(A239=Main!$E$6,F240-F239,IF(A239=Main!$G$6,F240-F239,IF(A239=Main!$C$6,F239,IF(A239=Main!$I$6,-F239,0))))</f>
        <v>0</v>
      </c>
    </row>
    <row r="240" spans="1:7" s="87" customFormat="1">
      <c r="A240" s="112">
        <f>37*(A303-A203)/100+A203</f>
        <v>2.74</v>
      </c>
      <c r="B240" s="110">
        <f>Solver!$R$28 + A240 * Solver!$R$29 + A240 ^ 2 * Solver!$R$30 + A240 ^ 3 * Solver!$R$31</f>
        <v>2.1279043018173462</v>
      </c>
      <c r="C240" s="110">
        <f>Solver!$R$29+2*A240*Solver!$R$30+3*A240^2*Solver!$R$31</f>
        <v>2.8755463538072239</v>
      </c>
      <c r="D240" s="110">
        <f xml:space="preserve">  2  *Solver!$R$30 + 6 * A240 * Solver!$R$31</f>
        <v>0</v>
      </c>
      <c r="E240" s="110">
        <f xml:space="preserve"> (2  *Solver!$R$30 + 6 * A240 * Solver!$R$31)*constants!$B$12</f>
        <v>0</v>
      </c>
      <c r="F240" s="110">
        <f xml:space="preserve"> 6 * Solver!$R$31* constants!$B$12</f>
        <v>0</v>
      </c>
      <c r="G240" s="111">
        <f>IF(A240=Main!$E$6,F241-F240,IF(A240=Main!$G$6,F241-F240,IF(A240=Main!$C$6,F240,IF(A240=Main!$I$6,-F240,0))))</f>
        <v>0</v>
      </c>
    </row>
    <row r="241" spans="1:7" s="87" customFormat="1">
      <c r="A241" s="112">
        <f>38*(A303-A203)/100+A203</f>
        <v>2.76</v>
      </c>
      <c r="B241" s="110">
        <f>Solver!$R$28 + A241 * Solver!$R$29 + A241 ^ 2 * Solver!$R$30 + A241 ^ 3 * Solver!$R$31</f>
        <v>2.1854152288934898</v>
      </c>
      <c r="C241" s="110">
        <f>Solver!$R$29+2*A241*Solver!$R$30+3*A241^2*Solver!$R$31</f>
        <v>2.8755463538072239</v>
      </c>
      <c r="D241" s="110">
        <f xml:space="preserve">  2  *Solver!$R$30 + 6 * A241 * Solver!$R$31</f>
        <v>0</v>
      </c>
      <c r="E241" s="110">
        <f xml:space="preserve"> (2  *Solver!$R$30 + 6 * A241 * Solver!$R$31)*constants!$B$12</f>
        <v>0</v>
      </c>
      <c r="F241" s="110">
        <f xml:space="preserve"> 6 * Solver!$R$31* constants!$B$12</f>
        <v>0</v>
      </c>
      <c r="G241" s="111">
        <f>IF(A241=Main!$E$6,F242-F241,IF(A241=Main!$G$6,F242-F241,IF(A241=Main!$C$6,F241,IF(A241=Main!$I$6,-F241,0))))</f>
        <v>0</v>
      </c>
    </row>
    <row r="242" spans="1:7" s="87" customFormat="1">
      <c r="A242" s="112">
        <f>39*(A303-A203)/100+A203</f>
        <v>2.7800000000000002</v>
      </c>
      <c r="B242" s="110">
        <f>Solver!$R$28 + A242 * Solver!$R$29 + A242 ^ 2 * Solver!$R$30 + A242 ^ 3 * Solver!$R$31</f>
        <v>2.2429261559696352</v>
      </c>
      <c r="C242" s="110">
        <f>Solver!$R$29+2*A242*Solver!$R$30+3*A242^2*Solver!$R$31</f>
        <v>2.8755463538072239</v>
      </c>
      <c r="D242" s="110">
        <f xml:space="preserve">  2  *Solver!$R$30 + 6 * A242 * Solver!$R$31</f>
        <v>0</v>
      </c>
      <c r="E242" s="110">
        <f xml:space="preserve"> (2  *Solver!$R$30 + 6 * A242 * Solver!$R$31)*constants!$B$12</f>
        <v>0</v>
      </c>
      <c r="F242" s="110">
        <f xml:space="preserve"> 6 * Solver!$R$31* constants!$B$12</f>
        <v>0</v>
      </c>
      <c r="G242" s="111">
        <f>IF(A242=Main!$E$6,F243-F242,IF(A242=Main!$G$6,F243-F242,IF(A242=Main!$C$6,F242,IF(A242=Main!$I$6,-F242,0))))</f>
        <v>0</v>
      </c>
    </row>
    <row r="243" spans="1:7">
      <c r="A243" s="109">
        <f>8*(A303-A203)/20+A203</f>
        <v>2.8</v>
      </c>
      <c r="B243" s="110">
        <f>Solver!$R$28 + A243 * Solver!$R$29 + A243 ^ 2 * Solver!$R$30 + A243 ^ 3 * Solver!$R$31</f>
        <v>2.3004370830457779</v>
      </c>
      <c r="C243" s="110">
        <f>Solver!$R$29+2*A243*Solver!$R$30+3*A243^2*Solver!$R$31</f>
        <v>2.8755463538072239</v>
      </c>
      <c r="D243" s="110">
        <f xml:space="preserve">  2  *Solver!$R$30 + 6 * A243 * Solver!$R$31</f>
        <v>0</v>
      </c>
      <c r="E243" s="110">
        <f xml:space="preserve"> (2  *Solver!$R$30 + 6 * A243 * Solver!$R$31)*constants!$B$12</f>
        <v>0</v>
      </c>
      <c r="F243" s="110">
        <f xml:space="preserve"> 6 * Solver!$R$31* constants!$B$12</f>
        <v>0</v>
      </c>
      <c r="G243" s="111">
        <f>IF(A243=Main!$E$6,F244-F243,IF(A243=Main!$G$6,F244-F243,IF(A243=Main!$C$6,F243,IF(A243=Main!$I$6,-F243,0))))</f>
        <v>0</v>
      </c>
    </row>
    <row r="244" spans="1:7" s="87" customFormat="1">
      <c r="A244" s="109">
        <f>41*(A303-A203)/100+A203</f>
        <v>2.82</v>
      </c>
      <c r="B244" s="110">
        <f>Solver!$R$28 + A244 * Solver!$R$29 + A244 ^ 2 * Solver!$R$30 + A244 ^ 3 * Solver!$R$31</f>
        <v>2.3579480101219223</v>
      </c>
      <c r="C244" s="110">
        <f>Solver!$R$29+2*A244*Solver!$R$30+3*A244^2*Solver!$R$31</f>
        <v>2.8755463538072239</v>
      </c>
      <c r="D244" s="110">
        <f xml:space="preserve">  2  *Solver!$R$30 + 6 * A244 * Solver!$R$31</f>
        <v>0</v>
      </c>
      <c r="E244" s="110">
        <f xml:space="preserve"> (2  *Solver!$R$30 + 6 * A244 * Solver!$R$31)*constants!$B$12</f>
        <v>0</v>
      </c>
      <c r="F244" s="110">
        <f xml:space="preserve"> 6 * Solver!$R$31* constants!$B$12</f>
        <v>0</v>
      </c>
      <c r="G244" s="111">
        <f>IF(A244=Main!$E$6,F245-F244,IF(A244=Main!$G$6,F245-F244,IF(A244=Main!$C$6,F244,IF(A244=Main!$I$6,-F244,0))))</f>
        <v>0</v>
      </c>
    </row>
    <row r="245" spans="1:7" s="87" customFormat="1">
      <c r="A245" s="109">
        <f>42*(A303-A203)/100+A203</f>
        <v>2.84</v>
      </c>
      <c r="B245" s="110">
        <f>Solver!$R$28 + A245 * Solver!$R$29 + A245 ^ 2 * Solver!$R$30 + A245 ^ 3 * Solver!$R$31</f>
        <v>2.4154589371980668</v>
      </c>
      <c r="C245" s="110">
        <f>Solver!$R$29+2*A245*Solver!$R$30+3*A245^2*Solver!$R$31</f>
        <v>2.8755463538072239</v>
      </c>
      <c r="D245" s="110">
        <f xml:space="preserve">  2  *Solver!$R$30 + 6 * A245 * Solver!$R$31</f>
        <v>0</v>
      </c>
      <c r="E245" s="110">
        <f xml:space="preserve"> (2  *Solver!$R$30 + 6 * A245 * Solver!$R$31)*constants!$B$12</f>
        <v>0</v>
      </c>
      <c r="F245" s="110">
        <f xml:space="preserve"> 6 * Solver!$R$31* constants!$B$12</f>
        <v>0</v>
      </c>
      <c r="G245" s="111">
        <f>IF(A245=Main!$E$6,F246-F245,IF(A245=Main!$G$6,F246-F245,IF(A245=Main!$C$6,F245,IF(A245=Main!$I$6,-F245,0))))</f>
        <v>0</v>
      </c>
    </row>
    <row r="246" spans="1:7" s="87" customFormat="1">
      <c r="A246" s="109">
        <f>43*(A303-A203)/100+A203</f>
        <v>2.86</v>
      </c>
      <c r="B246" s="110">
        <f>Solver!$R$28 + A246 * Solver!$R$29 + A246 ^ 2 * Solver!$R$30 + A246 ^ 3 * Solver!$R$31</f>
        <v>2.4729698642742131</v>
      </c>
      <c r="C246" s="110">
        <f>Solver!$R$29+2*A246*Solver!$R$30+3*A246^2*Solver!$R$31</f>
        <v>2.8755463538072239</v>
      </c>
      <c r="D246" s="110">
        <f xml:space="preserve">  2  *Solver!$R$30 + 6 * A246 * Solver!$R$31</f>
        <v>0</v>
      </c>
      <c r="E246" s="110">
        <f xml:space="preserve"> (2  *Solver!$R$30 + 6 * A246 * Solver!$R$31)*constants!$B$12</f>
        <v>0</v>
      </c>
      <c r="F246" s="110">
        <f xml:space="preserve"> 6 * Solver!$R$31* constants!$B$12</f>
        <v>0</v>
      </c>
      <c r="G246" s="111">
        <f>IF(A246=Main!$E$6,F247-F246,IF(A246=Main!$G$6,F247-F246,IF(A246=Main!$C$6,F246,IF(A246=Main!$I$6,-F246,0))))</f>
        <v>0</v>
      </c>
    </row>
    <row r="247" spans="1:7" s="87" customFormat="1">
      <c r="A247" s="109">
        <f>44*(A303-A203)/100+A203</f>
        <v>2.88</v>
      </c>
      <c r="B247" s="110">
        <f>Solver!$R$28 + A247 * Solver!$R$29 + A247 ^ 2 * Solver!$R$30 + A247 ^ 3 * Solver!$R$31</f>
        <v>2.5304807913503575</v>
      </c>
      <c r="C247" s="110">
        <f>Solver!$R$29+2*A247*Solver!$R$30+3*A247^2*Solver!$R$31</f>
        <v>2.8755463538072239</v>
      </c>
      <c r="D247" s="110">
        <f xml:space="preserve">  2  *Solver!$R$30 + 6 * A247 * Solver!$R$31</f>
        <v>0</v>
      </c>
      <c r="E247" s="110">
        <f xml:space="preserve"> (2  *Solver!$R$30 + 6 * A247 * Solver!$R$31)*constants!$B$12</f>
        <v>0</v>
      </c>
      <c r="F247" s="110">
        <f xml:space="preserve"> 6 * Solver!$R$31* constants!$B$12</f>
        <v>0</v>
      </c>
      <c r="G247" s="111">
        <f>IF(A247=Main!$E$6,F248-F247,IF(A247=Main!$G$6,F248-F247,IF(A247=Main!$C$6,F247,IF(A247=Main!$I$6,-F247,0))))</f>
        <v>0</v>
      </c>
    </row>
    <row r="248" spans="1:7">
      <c r="A248" s="109">
        <f>9*(A303-A203)/20+A203</f>
        <v>2.9</v>
      </c>
      <c r="B248" s="110">
        <f>Solver!$R$28 + A248 * Solver!$R$29 + A248 ^ 2 * Solver!$R$30 + A248 ^ 3 * Solver!$R$31</f>
        <v>2.587991718426502</v>
      </c>
      <c r="C248" s="110">
        <f>Solver!$R$29+2*A248*Solver!$R$30+3*A248^2*Solver!$R$31</f>
        <v>2.8755463538072239</v>
      </c>
      <c r="D248" s="110">
        <f xml:space="preserve">  2  *Solver!$R$30 + 6 * A248 * Solver!$R$31</f>
        <v>0</v>
      </c>
      <c r="E248" s="110">
        <f xml:space="preserve"> (2  *Solver!$R$30 + 6 * A248 * Solver!$R$31)*constants!$B$12</f>
        <v>0</v>
      </c>
      <c r="F248" s="110">
        <f xml:space="preserve"> 6 * Solver!$R$31* constants!$B$12</f>
        <v>0</v>
      </c>
      <c r="G248" s="111">
        <f>IF(A248=Main!$E$6,F249-F248,IF(A248=Main!$G$6,F249-F248,IF(A248=Main!$C$6,F248,IF(A248=Main!$I$6,-F248,0))))</f>
        <v>0</v>
      </c>
    </row>
    <row r="249" spans="1:7" s="87" customFormat="1">
      <c r="A249" s="109">
        <f>46*(A303-A203)/100+A203</f>
        <v>2.92</v>
      </c>
      <c r="B249" s="110">
        <f>Solver!$R$28 + A249 * Solver!$R$29 + A249 ^ 2 * Solver!$R$30 + A249 ^ 3 * Solver!$R$31</f>
        <v>2.6455026455026465</v>
      </c>
      <c r="C249" s="110">
        <f>Solver!$R$29+2*A249*Solver!$R$30+3*A249^2*Solver!$R$31</f>
        <v>2.8755463538072239</v>
      </c>
      <c r="D249" s="110">
        <f xml:space="preserve">  2  *Solver!$R$30 + 6 * A249 * Solver!$R$31</f>
        <v>0</v>
      </c>
      <c r="E249" s="110">
        <f xml:space="preserve"> (2  *Solver!$R$30 + 6 * A249 * Solver!$R$31)*constants!$B$12</f>
        <v>0</v>
      </c>
      <c r="F249" s="110">
        <f xml:space="preserve"> 6 * Solver!$R$31* constants!$B$12</f>
        <v>0</v>
      </c>
      <c r="G249" s="111">
        <f>IF(A249=Main!$E$6,F250-F249,IF(A249=Main!$G$6,F250-F249,IF(A249=Main!$C$6,F249,IF(A249=Main!$I$6,-F249,0))))</f>
        <v>0</v>
      </c>
    </row>
    <row r="250" spans="1:7" s="87" customFormat="1">
      <c r="A250" s="109">
        <f>47*(A303-A203)/100+A203</f>
        <v>2.94</v>
      </c>
      <c r="B250" s="110">
        <f>Solver!$R$28 + A250 * Solver!$R$29 + A250 ^ 2 * Solver!$R$30 + A250 ^ 3 * Solver!$R$31</f>
        <v>2.7030135725787909</v>
      </c>
      <c r="C250" s="110">
        <f>Solver!$R$29+2*A250*Solver!$R$30+3*A250^2*Solver!$R$31</f>
        <v>2.8755463538072239</v>
      </c>
      <c r="D250" s="110">
        <f xml:space="preserve">  2  *Solver!$R$30 + 6 * A250 * Solver!$R$31</f>
        <v>0</v>
      </c>
      <c r="E250" s="110">
        <f xml:space="preserve"> (2  *Solver!$R$30 + 6 * A250 * Solver!$R$31)*constants!$B$12</f>
        <v>0</v>
      </c>
      <c r="F250" s="110">
        <f xml:space="preserve"> 6 * Solver!$R$31* constants!$B$12</f>
        <v>0</v>
      </c>
      <c r="G250" s="111">
        <f>IF(A250=Main!$E$6,F251-F250,IF(A250=Main!$G$6,F251-F250,IF(A250=Main!$C$6,F250,IF(A250=Main!$I$6,-F250,0))))</f>
        <v>0</v>
      </c>
    </row>
    <row r="251" spans="1:7" s="87" customFormat="1">
      <c r="A251" s="109">
        <f>48*(A303-A203)/100+A203</f>
        <v>2.96</v>
      </c>
      <c r="B251" s="110">
        <f>Solver!$R$28 + A251 * Solver!$R$29 + A251 ^ 2 * Solver!$R$30 + A251 ^ 3 * Solver!$R$31</f>
        <v>2.7605244996549354</v>
      </c>
      <c r="C251" s="110">
        <f>Solver!$R$29+2*A251*Solver!$R$30+3*A251^2*Solver!$R$31</f>
        <v>2.8755463538072239</v>
      </c>
      <c r="D251" s="110">
        <f xml:space="preserve">  2  *Solver!$R$30 + 6 * A251 * Solver!$R$31</f>
        <v>0</v>
      </c>
      <c r="E251" s="110">
        <f xml:space="preserve"> (2  *Solver!$R$30 + 6 * A251 * Solver!$R$31)*constants!$B$12</f>
        <v>0</v>
      </c>
      <c r="F251" s="110">
        <f xml:space="preserve"> 6 * Solver!$R$31* constants!$B$12</f>
        <v>0</v>
      </c>
      <c r="G251" s="111">
        <f>IF(A251=Main!$E$6,F252-F251,IF(A251=Main!$G$6,F252-F251,IF(A251=Main!$C$6,F251,IF(A251=Main!$I$6,-F251,0))))</f>
        <v>0</v>
      </c>
    </row>
    <row r="252" spans="1:7" s="87" customFormat="1">
      <c r="A252" s="109">
        <f>49*(A303-A203)/100+A203</f>
        <v>2.98</v>
      </c>
      <c r="B252" s="110">
        <f>Solver!$R$28 + A252 * Solver!$R$29 + A252 ^ 2 * Solver!$R$30 + A252 ^ 3 * Solver!$R$31</f>
        <v>2.8180354267310799</v>
      </c>
      <c r="C252" s="110">
        <f>Solver!$R$29+2*A252*Solver!$R$30+3*A252^2*Solver!$R$31</f>
        <v>2.8755463538072239</v>
      </c>
      <c r="D252" s="110">
        <f xml:space="preserve">  2  *Solver!$R$30 + 6 * A252 * Solver!$R$31</f>
        <v>0</v>
      </c>
      <c r="E252" s="110">
        <f xml:space="preserve"> (2  *Solver!$R$30 + 6 * A252 * Solver!$R$31)*constants!$B$12</f>
        <v>0</v>
      </c>
      <c r="F252" s="110">
        <f xml:space="preserve"> 6 * Solver!$R$31* constants!$B$12</f>
        <v>0</v>
      </c>
      <c r="G252" s="111">
        <f>IF(A252=Main!$E$6,F253-F252,IF(A252=Main!$G$6,F253-F252,IF(A252=Main!$C$6,F252,IF(A252=Main!$I$6,-F252,0))))</f>
        <v>0</v>
      </c>
    </row>
    <row r="253" spans="1:7">
      <c r="A253" s="109">
        <f>(A303-A203)/2+A203</f>
        <v>3</v>
      </c>
      <c r="B253" s="110">
        <f>Solver!$R$28 + A253 * Solver!$R$29 + A253 ^ 2 * Solver!$R$30 + A253 ^ 3 * Solver!$R$31</f>
        <v>2.8755463538072243</v>
      </c>
      <c r="C253" s="110">
        <f>Solver!$R$29+2*A253*Solver!$R$30+3*A253^2*Solver!$R$31</f>
        <v>2.8755463538072239</v>
      </c>
      <c r="D253" s="110">
        <f xml:space="preserve">  2  *Solver!$R$30 + 6 * A253 * Solver!$R$31</f>
        <v>0</v>
      </c>
      <c r="E253" s="110">
        <f xml:space="preserve"> (2  *Solver!$R$30 + 6 * A253 * Solver!$R$31)*constants!$B$12</f>
        <v>0</v>
      </c>
      <c r="F253" s="110">
        <f xml:space="preserve"> 6 * Solver!$R$31* constants!$B$12</f>
        <v>0</v>
      </c>
      <c r="G253" s="111">
        <f>IF(A253=Main!$E$6,F254-F253,IF(A253=Main!$G$6,F254-F253,IF(A253=Main!$C$6,F253,IF(A253=Main!$I$6,-F253,0))))</f>
        <v>0</v>
      </c>
    </row>
    <row r="254" spans="1:7" s="87" customFormat="1">
      <c r="A254" s="109">
        <f>51*(A303-A203)/100+A203</f>
        <v>3.02</v>
      </c>
      <c r="B254" s="110">
        <f>Solver!$R$28 + A254 * Solver!$R$29 + A254 ^ 2 * Solver!$R$30 + A254 ^ 3 * Solver!$R$31</f>
        <v>2.9330572808833688</v>
      </c>
      <c r="C254" s="110">
        <f>Solver!$R$29+2*A254*Solver!$R$30+3*A254^2*Solver!$R$31</f>
        <v>2.8755463538072239</v>
      </c>
      <c r="D254" s="110">
        <f xml:space="preserve">  2  *Solver!$R$30 + 6 * A254 * Solver!$R$31</f>
        <v>0</v>
      </c>
      <c r="E254" s="110">
        <f xml:space="preserve"> (2  *Solver!$R$30 + 6 * A254 * Solver!$R$31)*constants!$B$12</f>
        <v>0</v>
      </c>
      <c r="F254" s="110">
        <f xml:space="preserve"> 6 * Solver!$R$31* constants!$B$12</f>
        <v>0</v>
      </c>
      <c r="G254" s="111">
        <f>IF(A254=Main!$E$6,F255-F254,IF(A254=Main!$G$6,F255-F254,IF(A254=Main!$C$6,F254,IF(A254=Main!$I$6,-F254,0))))</f>
        <v>0</v>
      </c>
    </row>
    <row r="255" spans="1:7" s="87" customFormat="1">
      <c r="A255" s="109">
        <f>52*(A303-A203)/100+A203</f>
        <v>3.04</v>
      </c>
      <c r="B255" s="110">
        <f>Solver!$R$28 + A255 * Solver!$R$29 + A255 ^ 2 * Solver!$R$30 + A255 ^ 3 * Solver!$R$31</f>
        <v>2.9905682079595133</v>
      </c>
      <c r="C255" s="110">
        <f>Solver!$R$29+2*A255*Solver!$R$30+3*A255^2*Solver!$R$31</f>
        <v>2.8755463538072239</v>
      </c>
      <c r="D255" s="110">
        <f xml:space="preserve">  2  *Solver!$R$30 + 6 * A255 * Solver!$R$31</f>
        <v>0</v>
      </c>
      <c r="E255" s="110">
        <f xml:space="preserve"> (2  *Solver!$R$30 + 6 * A255 * Solver!$R$31)*constants!$B$12</f>
        <v>0</v>
      </c>
      <c r="F255" s="110">
        <f xml:space="preserve"> 6 * Solver!$R$31* constants!$B$12</f>
        <v>0</v>
      </c>
      <c r="G255" s="111">
        <f>IF(A255=Main!$E$6,F256-F255,IF(A255=Main!$G$6,F256-F255,IF(A255=Main!$C$6,F255,IF(A255=Main!$I$6,-F255,0))))</f>
        <v>0</v>
      </c>
    </row>
    <row r="256" spans="1:7" s="87" customFormat="1">
      <c r="A256" s="109">
        <f>53*(A303-A203)/100+A203</f>
        <v>3.06</v>
      </c>
      <c r="B256" s="110">
        <f>Solver!$R$28 + A256 * Solver!$R$29 + A256 ^ 2 * Solver!$R$30 + A256 ^ 3 * Solver!$R$31</f>
        <v>3.0480791350356577</v>
      </c>
      <c r="C256" s="110">
        <f>Solver!$R$29+2*A256*Solver!$R$30+3*A256^2*Solver!$R$31</f>
        <v>2.8755463538072239</v>
      </c>
      <c r="D256" s="110">
        <f xml:space="preserve">  2  *Solver!$R$30 + 6 * A256 * Solver!$R$31</f>
        <v>0</v>
      </c>
      <c r="E256" s="110">
        <f xml:space="preserve"> (2  *Solver!$R$30 + 6 * A256 * Solver!$R$31)*constants!$B$12</f>
        <v>0</v>
      </c>
      <c r="F256" s="110">
        <f xml:space="preserve"> 6 * Solver!$R$31* constants!$B$12</f>
        <v>0</v>
      </c>
      <c r="G256" s="111">
        <f>IF(A256=Main!$E$6,F257-F256,IF(A256=Main!$G$6,F257-F256,IF(A256=Main!$C$6,F256,IF(A256=Main!$I$6,-F256,0))))</f>
        <v>0</v>
      </c>
    </row>
    <row r="257" spans="1:7" s="87" customFormat="1">
      <c r="A257" s="109">
        <f>54*(A303-A203)/100+A203</f>
        <v>3.08</v>
      </c>
      <c r="B257" s="110">
        <f>Solver!$R$28 + A257 * Solver!$R$29 + A257 ^ 2 * Solver!$R$30 + A257 ^ 3 * Solver!$R$31</f>
        <v>3.1055900621118022</v>
      </c>
      <c r="C257" s="110">
        <f>Solver!$R$29+2*A257*Solver!$R$30+3*A257^2*Solver!$R$31</f>
        <v>2.8755463538072239</v>
      </c>
      <c r="D257" s="110">
        <f xml:space="preserve">  2  *Solver!$R$30 + 6 * A257 * Solver!$R$31</f>
        <v>0</v>
      </c>
      <c r="E257" s="110">
        <f xml:space="preserve"> (2  *Solver!$R$30 + 6 * A257 * Solver!$R$31)*constants!$B$12</f>
        <v>0</v>
      </c>
      <c r="F257" s="110">
        <f xml:space="preserve"> 6 * Solver!$R$31* constants!$B$12</f>
        <v>0</v>
      </c>
      <c r="G257" s="111">
        <f>IF(A257=Main!$E$6,F258-F257,IF(A257=Main!$G$6,F258-F257,IF(A257=Main!$C$6,F257,IF(A257=Main!$I$6,-F257,0))))</f>
        <v>0</v>
      </c>
    </row>
    <row r="258" spans="1:7">
      <c r="A258" s="109">
        <f>11*(A303-A203)/20+A203</f>
        <v>3.1</v>
      </c>
      <c r="B258" s="110">
        <f>Solver!$R$28 + A258 * Solver!$R$29 + A258 ^ 2 * Solver!$R$30 + A258 ^ 3 * Solver!$R$31</f>
        <v>3.1631009891879467</v>
      </c>
      <c r="C258" s="110">
        <f>Solver!$R$29+2*A258*Solver!$R$30+3*A258^2*Solver!$R$31</f>
        <v>2.8755463538072239</v>
      </c>
      <c r="D258" s="110">
        <f xml:space="preserve">  2  *Solver!$R$30 + 6 * A258 * Solver!$R$31</f>
        <v>0</v>
      </c>
      <c r="E258" s="110">
        <f xml:space="preserve"> (2  *Solver!$R$30 + 6 * A258 * Solver!$R$31)*constants!$B$12</f>
        <v>0</v>
      </c>
      <c r="F258" s="110">
        <f xml:space="preserve"> 6 * Solver!$R$31* constants!$B$12</f>
        <v>0</v>
      </c>
      <c r="G258" s="111">
        <f>IF(A258=Main!$E$6,F259-F258,IF(A258=Main!$G$6,F259-F258,IF(A258=Main!$C$6,F258,IF(A258=Main!$I$6,-F258,0))))</f>
        <v>0</v>
      </c>
    </row>
    <row r="259" spans="1:7" s="87" customFormat="1">
      <c r="A259" s="109">
        <f>56*(A303-A203)/100+A203</f>
        <v>3.12</v>
      </c>
      <c r="B259" s="110">
        <f>Solver!$R$28 + A259 * Solver!$R$29 + A259 ^ 2 * Solver!$R$30 + A259 ^ 3 * Solver!$R$31</f>
        <v>3.2206119162640912</v>
      </c>
      <c r="C259" s="110">
        <f>Solver!$R$29+2*A259*Solver!$R$30+3*A259^2*Solver!$R$31</f>
        <v>2.8755463538072239</v>
      </c>
      <c r="D259" s="110">
        <f xml:space="preserve">  2  *Solver!$R$30 + 6 * A259 * Solver!$R$31</f>
        <v>0</v>
      </c>
      <c r="E259" s="110">
        <f xml:space="preserve"> (2  *Solver!$R$30 + 6 * A259 * Solver!$R$31)*constants!$B$12</f>
        <v>0</v>
      </c>
      <c r="F259" s="110">
        <f xml:space="preserve"> 6 * Solver!$R$31* constants!$B$12</f>
        <v>0</v>
      </c>
      <c r="G259" s="111">
        <f>IF(A259=Main!$E$6,F260-F259,IF(A259=Main!$G$6,F260-F259,IF(A259=Main!$C$6,F259,IF(A259=Main!$I$6,-F259,0))))</f>
        <v>0</v>
      </c>
    </row>
    <row r="260" spans="1:7" s="87" customFormat="1">
      <c r="A260" s="109">
        <f>57*(A303-A203)/100+A203</f>
        <v>3.1399999999999997</v>
      </c>
      <c r="B260" s="110">
        <f>Solver!$R$28 + A260 * Solver!$R$29 + A260 ^ 2 * Solver!$R$30 + A260 ^ 3 * Solver!$R$31</f>
        <v>3.2781228433402338</v>
      </c>
      <c r="C260" s="110">
        <f>Solver!$R$29+2*A260*Solver!$R$30+3*A260^2*Solver!$R$31</f>
        <v>2.8755463538072239</v>
      </c>
      <c r="D260" s="110">
        <f xml:space="preserve">  2  *Solver!$R$30 + 6 * A260 * Solver!$R$31</f>
        <v>0</v>
      </c>
      <c r="E260" s="110">
        <f xml:space="preserve"> (2  *Solver!$R$30 + 6 * A260 * Solver!$R$31)*constants!$B$12</f>
        <v>0</v>
      </c>
      <c r="F260" s="110">
        <f xml:space="preserve"> 6 * Solver!$R$31* constants!$B$12</f>
        <v>0</v>
      </c>
      <c r="G260" s="111">
        <f>IF(A260=Main!$E$6,F261-F260,IF(A260=Main!$G$6,F261-F260,IF(A260=Main!$C$6,F260,IF(A260=Main!$I$6,-F260,0))))</f>
        <v>0</v>
      </c>
    </row>
    <row r="261" spans="1:7" s="87" customFormat="1">
      <c r="A261" s="109">
        <f>58*(A303-A203)/100+A203</f>
        <v>3.16</v>
      </c>
      <c r="B261" s="110">
        <f>Solver!$R$28 + A261 * Solver!$R$29 + A261 ^ 2 * Solver!$R$30 + A261 ^ 3 * Solver!$R$31</f>
        <v>3.3356337704163801</v>
      </c>
      <c r="C261" s="110">
        <f>Solver!$R$29+2*A261*Solver!$R$30+3*A261^2*Solver!$R$31</f>
        <v>2.8755463538072239</v>
      </c>
      <c r="D261" s="110">
        <f xml:space="preserve">  2  *Solver!$R$30 + 6 * A261 * Solver!$R$31</f>
        <v>0</v>
      </c>
      <c r="E261" s="110">
        <f xml:space="preserve"> (2  *Solver!$R$30 + 6 * A261 * Solver!$R$31)*constants!$B$12</f>
        <v>0</v>
      </c>
      <c r="F261" s="110">
        <f xml:space="preserve"> 6 * Solver!$R$31* constants!$B$12</f>
        <v>0</v>
      </c>
      <c r="G261" s="111">
        <f>IF(A261=Main!$E$6,F262-F261,IF(A261=Main!$G$6,F262-F261,IF(A261=Main!$C$6,F261,IF(A261=Main!$I$6,-F261,0))))</f>
        <v>0</v>
      </c>
    </row>
    <row r="262" spans="1:7" s="87" customFormat="1">
      <c r="A262" s="109">
        <f>59*(A303-A203)/100+A203</f>
        <v>3.1799999999999997</v>
      </c>
      <c r="B262" s="110">
        <f>Solver!$R$28 + A262 * Solver!$R$29 + A262 ^ 2 * Solver!$R$30 + A262 ^ 3 * Solver!$R$31</f>
        <v>3.3931446974925228</v>
      </c>
      <c r="C262" s="110">
        <f>Solver!$R$29+2*A262*Solver!$R$30+3*A262^2*Solver!$R$31</f>
        <v>2.8755463538072239</v>
      </c>
      <c r="D262" s="110">
        <f xml:space="preserve">  2  *Solver!$R$30 + 6 * A262 * Solver!$R$31</f>
        <v>0</v>
      </c>
      <c r="E262" s="110">
        <f xml:space="preserve"> (2  *Solver!$R$30 + 6 * A262 * Solver!$R$31)*constants!$B$12</f>
        <v>0</v>
      </c>
      <c r="F262" s="110">
        <f xml:space="preserve"> 6 * Solver!$R$31* constants!$B$12</f>
        <v>0</v>
      </c>
      <c r="G262" s="111">
        <f>IF(A262=Main!$E$6,F263-F262,IF(A262=Main!$G$6,F263-F262,IF(A262=Main!$C$6,F262,IF(A262=Main!$I$6,-F262,0))))</f>
        <v>0</v>
      </c>
    </row>
    <row r="263" spans="1:7">
      <c r="A263" s="109">
        <f>12*(A303-A203)/20+A203</f>
        <v>3.2</v>
      </c>
      <c r="B263" s="110">
        <f>Solver!$R$28 + A263 * Solver!$R$29 + A263 ^ 2 * Solver!$R$30 + A263 ^ 3 * Solver!$R$31</f>
        <v>3.450655624568669</v>
      </c>
      <c r="C263" s="110">
        <f>Solver!$R$29+2*A263*Solver!$R$30+3*A263^2*Solver!$R$31</f>
        <v>2.8755463538072239</v>
      </c>
      <c r="D263" s="110">
        <f xml:space="preserve">  2  *Solver!$R$30 + 6 * A263 * Solver!$R$31</f>
        <v>0</v>
      </c>
      <c r="E263" s="110">
        <f xml:space="preserve"> (2  *Solver!$R$30 + 6 * A263 * Solver!$R$31)*constants!$B$12</f>
        <v>0</v>
      </c>
      <c r="F263" s="110">
        <f xml:space="preserve"> 6 * Solver!$R$31* constants!$B$12</f>
        <v>0</v>
      </c>
      <c r="G263" s="111">
        <f>IF(A263=Main!$E$6,F264-F263,IF(A263=Main!$G$6,F264-F263,IF(A263=Main!$C$6,F263,IF(A263=Main!$I$6,-F263,0))))</f>
        <v>0</v>
      </c>
    </row>
    <row r="264" spans="1:7" s="87" customFormat="1">
      <c r="A264" s="109">
        <f>61*(A303-A203)/100+A203</f>
        <v>3.2199999999999998</v>
      </c>
      <c r="B264" s="110">
        <f>Solver!$R$28 + A264 * Solver!$R$29 + A264 ^ 2 * Solver!$R$30 + A264 ^ 3 * Solver!$R$31</f>
        <v>3.5081665516448117</v>
      </c>
      <c r="C264" s="110">
        <f>Solver!$R$29+2*A264*Solver!$R$30+3*A264^2*Solver!$R$31</f>
        <v>2.8755463538072239</v>
      </c>
      <c r="D264" s="110">
        <f xml:space="preserve">  2  *Solver!$R$30 + 6 * A264 * Solver!$R$31</f>
        <v>0</v>
      </c>
      <c r="E264" s="110">
        <f xml:space="preserve"> (2  *Solver!$R$30 + 6 * A264 * Solver!$R$31)*constants!$B$12</f>
        <v>0</v>
      </c>
      <c r="F264" s="110">
        <f xml:space="preserve"> 6 * Solver!$R$31* constants!$B$12</f>
        <v>0</v>
      </c>
      <c r="G264" s="111">
        <f>IF(A264=Main!$E$6,F265-F264,IF(A264=Main!$G$6,F265-F264,IF(A264=Main!$C$6,F264,IF(A264=Main!$I$6,-F264,0))))</f>
        <v>0</v>
      </c>
    </row>
    <row r="265" spans="1:7" s="87" customFormat="1">
      <c r="A265" s="109">
        <f>62*(A303-A203)/100+A203</f>
        <v>3.24</v>
      </c>
      <c r="B265" s="110">
        <f>Solver!$R$28 + A265 * Solver!$R$29 + A265 ^ 2 * Solver!$R$30 + A265 ^ 3 * Solver!$R$31</f>
        <v>3.565677478720958</v>
      </c>
      <c r="C265" s="110">
        <f>Solver!$R$29+2*A265*Solver!$R$30+3*A265^2*Solver!$R$31</f>
        <v>2.8755463538072239</v>
      </c>
      <c r="D265" s="110">
        <f xml:space="preserve">  2  *Solver!$R$30 + 6 * A265 * Solver!$R$31</f>
        <v>0</v>
      </c>
      <c r="E265" s="110">
        <f xml:space="preserve"> (2  *Solver!$R$30 + 6 * A265 * Solver!$R$31)*constants!$B$12</f>
        <v>0</v>
      </c>
      <c r="F265" s="110">
        <f xml:space="preserve"> 6 * Solver!$R$31* constants!$B$12</f>
        <v>0</v>
      </c>
      <c r="G265" s="111">
        <f>IF(A265=Main!$E$6,F266-F265,IF(A265=Main!$G$6,F266-F265,IF(A265=Main!$C$6,F265,IF(A265=Main!$I$6,-F265,0))))</f>
        <v>0</v>
      </c>
    </row>
    <row r="266" spans="1:7" s="87" customFormat="1">
      <c r="A266" s="109">
        <f>63*(A303-A203)/100+A203</f>
        <v>3.26</v>
      </c>
      <c r="B266" s="110">
        <f>Solver!$R$28 + A266 * Solver!$R$29 + A266 ^ 2 * Solver!$R$30 + A266 ^ 3 * Solver!$R$31</f>
        <v>3.6231884057971007</v>
      </c>
      <c r="C266" s="110">
        <f>Solver!$R$29+2*A266*Solver!$R$30+3*A266^2*Solver!$R$31</f>
        <v>2.8755463538072239</v>
      </c>
      <c r="D266" s="110">
        <f xml:space="preserve">  2  *Solver!$R$30 + 6 * A266 * Solver!$R$31</f>
        <v>0</v>
      </c>
      <c r="E266" s="110">
        <f xml:space="preserve"> (2  *Solver!$R$30 + 6 * A266 * Solver!$R$31)*constants!$B$12</f>
        <v>0</v>
      </c>
      <c r="F266" s="110">
        <f xml:space="preserve"> 6 * Solver!$R$31* constants!$B$12</f>
        <v>0</v>
      </c>
      <c r="G266" s="111">
        <f>IF(A266=Main!$E$6,F267-F266,IF(A266=Main!$G$6,F267-F266,IF(A266=Main!$C$6,F266,IF(A266=Main!$I$6,-F266,0))))</f>
        <v>0</v>
      </c>
    </row>
    <row r="267" spans="1:7" s="87" customFormat="1">
      <c r="A267" s="109">
        <f>64*(A303-A203)/100+A203</f>
        <v>3.2800000000000002</v>
      </c>
      <c r="B267" s="110">
        <f>Solver!$R$28 + A267 * Solver!$R$29 + A267 ^ 2 * Solver!$R$30 + A267 ^ 3 * Solver!$R$31</f>
        <v>3.6806993328732469</v>
      </c>
      <c r="C267" s="110">
        <f>Solver!$R$29+2*A267*Solver!$R$30+3*A267^2*Solver!$R$31</f>
        <v>2.8755463538072239</v>
      </c>
      <c r="D267" s="110">
        <f xml:space="preserve">  2  *Solver!$R$30 + 6 * A267 * Solver!$R$31</f>
        <v>0</v>
      </c>
      <c r="E267" s="110">
        <f xml:space="preserve"> (2  *Solver!$R$30 + 6 * A267 * Solver!$R$31)*constants!$B$12</f>
        <v>0</v>
      </c>
      <c r="F267" s="110">
        <f xml:space="preserve"> 6 * Solver!$R$31* constants!$B$12</f>
        <v>0</v>
      </c>
      <c r="G267" s="111">
        <f>IF(A267=Main!$E$6,F268-F267,IF(A267=Main!$G$6,F268-F267,IF(A267=Main!$C$6,F267,IF(A267=Main!$I$6,-F267,0))))</f>
        <v>0</v>
      </c>
    </row>
    <row r="268" spans="1:7">
      <c r="A268" s="109">
        <f>13*(A303-A203)/20+A203</f>
        <v>3.3</v>
      </c>
      <c r="B268" s="110">
        <f>Solver!$R$28 + A268 * Solver!$R$29 + A268 ^ 2 * Solver!$R$30 + A268 ^ 3 * Solver!$R$31</f>
        <v>3.7382102599493914</v>
      </c>
      <c r="C268" s="110">
        <f>Solver!$R$29+2*A268*Solver!$R$30+3*A268^2*Solver!$R$31</f>
        <v>2.8755463538072239</v>
      </c>
      <c r="D268" s="110">
        <f xml:space="preserve">  2  *Solver!$R$30 + 6 * A268 * Solver!$R$31</f>
        <v>0</v>
      </c>
      <c r="E268" s="110">
        <f xml:space="preserve"> (2  *Solver!$R$30 + 6 * A268 * Solver!$R$31)*constants!$B$12</f>
        <v>0</v>
      </c>
      <c r="F268" s="110">
        <f xml:space="preserve"> 6 * Solver!$R$31* constants!$B$12</f>
        <v>0</v>
      </c>
      <c r="G268" s="111">
        <f>IF(A268=Main!$E$6,F269-F268,IF(A268=Main!$G$6,F269-F268,IF(A268=Main!$C$6,F268,IF(A268=Main!$I$6,-F268,0))))</f>
        <v>0</v>
      </c>
    </row>
    <row r="269" spans="1:7" s="87" customFormat="1">
      <c r="A269" s="109">
        <f>66*(A303-A203)/100+A203</f>
        <v>3.3200000000000003</v>
      </c>
      <c r="B269" s="110">
        <f>Solver!$R$28 + A269 * Solver!$R$29 + A269 ^ 2 * Solver!$R$30 + A269 ^ 3 * Solver!$R$31</f>
        <v>3.7957211870255358</v>
      </c>
      <c r="C269" s="110">
        <f>Solver!$R$29+2*A269*Solver!$R$30+3*A269^2*Solver!$R$31</f>
        <v>2.8755463538072239</v>
      </c>
      <c r="D269" s="110">
        <f xml:space="preserve">  2  *Solver!$R$30 + 6 * A269 * Solver!$R$31</f>
        <v>0</v>
      </c>
      <c r="E269" s="110">
        <f xml:space="preserve"> (2  *Solver!$R$30 + 6 * A269 * Solver!$R$31)*constants!$B$12</f>
        <v>0</v>
      </c>
      <c r="F269" s="110">
        <f xml:space="preserve"> 6 * Solver!$R$31* constants!$B$12</f>
        <v>0</v>
      </c>
      <c r="G269" s="111">
        <f>IF(A269=Main!$E$6,F270-F269,IF(A269=Main!$G$6,F270-F269,IF(A269=Main!$C$6,F269,IF(A269=Main!$I$6,-F269,0))))</f>
        <v>0</v>
      </c>
    </row>
    <row r="270" spans="1:7" s="87" customFormat="1">
      <c r="A270" s="109">
        <f>67*(A303-A203)/100+A203</f>
        <v>3.34</v>
      </c>
      <c r="B270" s="110">
        <f>Solver!$R$28 + A270 * Solver!$R$29 + A270 ^ 2 * Solver!$R$30 + A270 ^ 3 * Solver!$R$31</f>
        <v>3.8532321141016803</v>
      </c>
      <c r="C270" s="110">
        <f>Solver!$R$29+2*A270*Solver!$R$30+3*A270^2*Solver!$R$31</f>
        <v>2.8755463538072239</v>
      </c>
      <c r="D270" s="110">
        <f xml:space="preserve">  2  *Solver!$R$30 + 6 * A270 * Solver!$R$31</f>
        <v>0</v>
      </c>
      <c r="E270" s="110">
        <f xml:space="preserve"> (2  *Solver!$R$30 + 6 * A270 * Solver!$R$31)*constants!$B$12</f>
        <v>0</v>
      </c>
      <c r="F270" s="110">
        <f xml:space="preserve"> 6 * Solver!$R$31* constants!$B$12</f>
        <v>0</v>
      </c>
      <c r="G270" s="111">
        <f>IF(A270=Main!$E$6,F271-F270,IF(A270=Main!$G$6,F271-F270,IF(A270=Main!$C$6,F270,IF(A270=Main!$I$6,-F270,0))))</f>
        <v>0</v>
      </c>
    </row>
    <row r="271" spans="1:7" s="87" customFormat="1">
      <c r="A271" s="109">
        <f>68*(A303-A203)/100+A203</f>
        <v>3.3600000000000003</v>
      </c>
      <c r="B271" s="110">
        <f>Solver!$R$28 + A271 * Solver!$R$29 + A271 ^ 2 * Solver!$R$30 + A271 ^ 3 * Solver!$R$31</f>
        <v>3.9107430411778248</v>
      </c>
      <c r="C271" s="110">
        <f>Solver!$R$29+2*A271*Solver!$R$30+3*A271^2*Solver!$R$31</f>
        <v>2.8755463538072239</v>
      </c>
      <c r="D271" s="110">
        <f xml:space="preserve">  2  *Solver!$R$30 + 6 * A271 * Solver!$R$31</f>
        <v>0</v>
      </c>
      <c r="E271" s="110">
        <f xml:space="preserve"> (2  *Solver!$R$30 + 6 * A271 * Solver!$R$31)*constants!$B$12</f>
        <v>0</v>
      </c>
      <c r="F271" s="110">
        <f xml:space="preserve"> 6 * Solver!$R$31* constants!$B$12</f>
        <v>0</v>
      </c>
      <c r="G271" s="111">
        <f>IF(A271=Main!$E$6,F272-F271,IF(A271=Main!$G$6,F272-F271,IF(A271=Main!$C$6,F271,IF(A271=Main!$I$6,-F271,0))))</f>
        <v>0</v>
      </c>
    </row>
    <row r="272" spans="1:7" s="87" customFormat="1">
      <c r="A272" s="109">
        <f>69*(A303-A203)/100+A203</f>
        <v>3.38</v>
      </c>
      <c r="B272" s="110">
        <f>Solver!$R$28 + A272 * Solver!$R$29 + A272 ^ 2 * Solver!$R$30 + A272 ^ 3 * Solver!$R$31</f>
        <v>3.9682539682539693</v>
      </c>
      <c r="C272" s="110">
        <f>Solver!$R$29+2*A272*Solver!$R$30+3*A272^2*Solver!$R$31</f>
        <v>2.8755463538072239</v>
      </c>
      <c r="D272" s="110">
        <f xml:space="preserve">  2  *Solver!$R$30 + 6 * A272 * Solver!$R$31</f>
        <v>0</v>
      </c>
      <c r="E272" s="110">
        <f xml:space="preserve"> (2  *Solver!$R$30 + 6 * A272 * Solver!$R$31)*constants!$B$12</f>
        <v>0</v>
      </c>
      <c r="F272" s="110">
        <f xml:space="preserve"> 6 * Solver!$R$31* constants!$B$12</f>
        <v>0</v>
      </c>
      <c r="G272" s="111">
        <f>IF(A272=Main!$E$6,F273-F272,IF(A272=Main!$G$6,F273-F272,IF(A272=Main!$C$6,F272,IF(A272=Main!$I$6,-F272,0))))</f>
        <v>0</v>
      </c>
    </row>
    <row r="273" spans="1:7">
      <c r="A273" s="109">
        <f>14*(A303-A203)/20+A203</f>
        <v>3.4</v>
      </c>
      <c r="B273" s="110">
        <f>Solver!$R$28 + A273 * Solver!$R$29 + A273 ^ 2 * Solver!$R$30 + A273 ^ 3 * Solver!$R$31</f>
        <v>4.0257648953301137</v>
      </c>
      <c r="C273" s="110">
        <f>Solver!$R$29+2*A273*Solver!$R$30+3*A273^2*Solver!$R$31</f>
        <v>2.8755463538072239</v>
      </c>
      <c r="D273" s="110">
        <f xml:space="preserve">  2  *Solver!$R$30 + 6 * A273 * Solver!$R$31</f>
        <v>0</v>
      </c>
      <c r="E273" s="110">
        <f xml:space="preserve"> (2  *Solver!$R$30 + 6 * A273 * Solver!$R$31)*constants!$B$12</f>
        <v>0</v>
      </c>
      <c r="F273" s="110">
        <f xml:space="preserve"> 6 * Solver!$R$31* constants!$B$12</f>
        <v>0</v>
      </c>
      <c r="G273" s="111">
        <f>IF(A273=Main!$E$6,F274-F273,IF(A273=Main!$G$6,F274-F273,IF(A273=Main!$C$6,F273,IF(A273=Main!$I$6,-F273,0))))</f>
        <v>0</v>
      </c>
    </row>
    <row r="274" spans="1:7" s="87" customFormat="1">
      <c r="A274" s="109">
        <f>71*(A303-A203)/100+A203</f>
        <v>3.42</v>
      </c>
      <c r="B274" s="110">
        <f>Solver!$R$28 + A274 * Solver!$R$29 + A274 ^ 2 * Solver!$R$30 + A274 ^ 3 * Solver!$R$31</f>
        <v>4.0832758224062582</v>
      </c>
      <c r="C274" s="110">
        <f>Solver!$R$29+2*A274*Solver!$R$30+3*A274^2*Solver!$R$31</f>
        <v>2.8755463538072239</v>
      </c>
      <c r="D274" s="110">
        <f xml:space="preserve">  2  *Solver!$R$30 + 6 * A274 * Solver!$R$31</f>
        <v>0</v>
      </c>
      <c r="E274" s="110">
        <f xml:space="preserve"> (2  *Solver!$R$30 + 6 * A274 * Solver!$R$31)*constants!$B$12</f>
        <v>0</v>
      </c>
      <c r="F274" s="110">
        <f xml:space="preserve"> 6 * Solver!$R$31* constants!$B$12</f>
        <v>0</v>
      </c>
      <c r="G274" s="111">
        <f>IF(A274=Main!$E$6,F275-F274,IF(A274=Main!$G$6,F275-F274,IF(A274=Main!$C$6,F274,IF(A274=Main!$I$6,-F274,0))))</f>
        <v>0</v>
      </c>
    </row>
    <row r="275" spans="1:7" s="87" customFormat="1">
      <c r="A275" s="109">
        <f>72*(A303-A203)/100+A203</f>
        <v>3.44</v>
      </c>
      <c r="B275" s="110">
        <f>Solver!$R$28 + A275 * Solver!$R$29 + A275 ^ 2 * Solver!$R$30 + A275 ^ 3 * Solver!$R$31</f>
        <v>4.1407867494824027</v>
      </c>
      <c r="C275" s="110">
        <f>Solver!$R$29+2*A275*Solver!$R$30+3*A275^2*Solver!$R$31</f>
        <v>2.8755463538072239</v>
      </c>
      <c r="D275" s="110">
        <f xml:space="preserve">  2  *Solver!$R$30 + 6 * A275 * Solver!$R$31</f>
        <v>0</v>
      </c>
      <c r="E275" s="110">
        <f xml:space="preserve"> (2  *Solver!$R$30 + 6 * A275 * Solver!$R$31)*constants!$B$12</f>
        <v>0</v>
      </c>
      <c r="F275" s="110">
        <f xml:space="preserve"> 6 * Solver!$R$31* constants!$B$12</f>
        <v>0</v>
      </c>
      <c r="G275" s="111">
        <f>IF(A275=Main!$E$6,F276-F275,IF(A275=Main!$G$6,F276-F275,IF(A275=Main!$C$6,F275,IF(A275=Main!$I$6,-F275,0))))</f>
        <v>0</v>
      </c>
    </row>
    <row r="276" spans="1:7" s="87" customFormat="1">
      <c r="A276" s="109">
        <f>73*(A303-A203)/100+A203</f>
        <v>3.46</v>
      </c>
      <c r="B276" s="110">
        <f>Solver!$R$28 + A276 * Solver!$R$29 + A276 ^ 2 * Solver!$R$30 + A276 ^ 3 * Solver!$R$31</f>
        <v>4.1982976765585471</v>
      </c>
      <c r="C276" s="110">
        <f>Solver!$R$29+2*A276*Solver!$R$30+3*A276^2*Solver!$R$31</f>
        <v>2.8755463538072239</v>
      </c>
      <c r="D276" s="110">
        <f xml:space="preserve">  2  *Solver!$R$30 + 6 * A276 * Solver!$R$31</f>
        <v>0</v>
      </c>
      <c r="E276" s="110">
        <f xml:space="preserve"> (2  *Solver!$R$30 + 6 * A276 * Solver!$R$31)*constants!$B$12</f>
        <v>0</v>
      </c>
      <c r="F276" s="110">
        <f xml:space="preserve"> 6 * Solver!$R$31* constants!$B$12</f>
        <v>0</v>
      </c>
      <c r="G276" s="111">
        <f>IF(A276=Main!$E$6,F277-F276,IF(A276=Main!$G$6,F277-F276,IF(A276=Main!$C$6,F276,IF(A276=Main!$I$6,-F276,0))))</f>
        <v>0</v>
      </c>
    </row>
    <row r="277" spans="1:7" s="87" customFormat="1">
      <c r="A277" s="109">
        <f>74*(A303-A203)/100+A203</f>
        <v>3.48</v>
      </c>
      <c r="B277" s="110">
        <f>Solver!$R$28 + A277 * Solver!$R$29 + A277 ^ 2 * Solver!$R$30 + A277 ^ 3 * Solver!$R$31</f>
        <v>4.2558086036346916</v>
      </c>
      <c r="C277" s="110">
        <f>Solver!$R$29+2*A277*Solver!$R$30+3*A277^2*Solver!$R$31</f>
        <v>2.8755463538072239</v>
      </c>
      <c r="D277" s="110">
        <f xml:space="preserve">  2  *Solver!$R$30 + 6 * A277 * Solver!$R$31</f>
        <v>0</v>
      </c>
      <c r="E277" s="110">
        <f xml:space="preserve"> (2  *Solver!$R$30 + 6 * A277 * Solver!$R$31)*constants!$B$12</f>
        <v>0</v>
      </c>
      <c r="F277" s="110">
        <f xml:space="preserve"> 6 * Solver!$R$31* constants!$B$12</f>
        <v>0</v>
      </c>
      <c r="G277" s="111">
        <f>IF(A277=Main!$E$6,F278-F277,IF(A277=Main!$G$6,F278-F277,IF(A277=Main!$C$6,F277,IF(A277=Main!$I$6,-F277,0))))</f>
        <v>0</v>
      </c>
    </row>
    <row r="278" spans="1:7">
      <c r="A278" s="109">
        <f>15*(A303-A203)/20+A203</f>
        <v>3.5</v>
      </c>
      <c r="B278" s="110">
        <f>Solver!$R$28 + A278 * Solver!$R$29 + A278 ^ 2 * Solver!$R$30 + A278 ^ 3 * Solver!$R$31</f>
        <v>4.3133195307108361</v>
      </c>
      <c r="C278" s="110">
        <f>Solver!$R$29+2*A278*Solver!$R$30+3*A278^2*Solver!$R$31</f>
        <v>2.8755463538072239</v>
      </c>
      <c r="D278" s="110">
        <f xml:space="preserve">  2  *Solver!$R$30 + 6 * A278 * Solver!$R$31</f>
        <v>0</v>
      </c>
      <c r="E278" s="110">
        <f xml:space="preserve"> (2  *Solver!$R$30 + 6 * A278 * Solver!$R$31)*constants!$B$12</f>
        <v>0</v>
      </c>
      <c r="F278" s="110">
        <f xml:space="preserve"> 6 * Solver!$R$31* constants!$B$12</f>
        <v>0</v>
      </c>
      <c r="G278" s="111">
        <f>IF(A278=Main!$E$6,F279-F278,IF(A278=Main!$G$6,F279-F278,IF(A278=Main!$C$6,F278,IF(A278=Main!$I$6,-F278,0))))</f>
        <v>0</v>
      </c>
    </row>
    <row r="279" spans="1:7" s="87" customFormat="1">
      <c r="A279" s="109">
        <f>76*(A303-A203)/100+A203</f>
        <v>3.52</v>
      </c>
      <c r="B279" s="110">
        <f>Solver!$R$28 + A279 * Solver!$R$29 + A279 ^ 2 * Solver!$R$30 + A279 ^ 3 * Solver!$R$31</f>
        <v>4.3708304577869805</v>
      </c>
      <c r="C279" s="110">
        <f>Solver!$R$29+2*A279*Solver!$R$30+3*A279^2*Solver!$R$31</f>
        <v>2.8755463538072239</v>
      </c>
      <c r="D279" s="110">
        <f xml:space="preserve">  2  *Solver!$R$30 + 6 * A279 * Solver!$R$31</f>
        <v>0</v>
      </c>
      <c r="E279" s="110">
        <f xml:space="preserve"> (2  *Solver!$R$30 + 6 * A279 * Solver!$R$31)*constants!$B$12</f>
        <v>0</v>
      </c>
      <c r="F279" s="110">
        <f xml:space="preserve"> 6 * Solver!$R$31* constants!$B$12</f>
        <v>0</v>
      </c>
      <c r="G279" s="111">
        <f>IF(A279=Main!$E$6,F280-F279,IF(A279=Main!$G$6,F280-F279,IF(A279=Main!$C$6,F279,IF(A279=Main!$I$6,-F279,0))))</f>
        <v>0</v>
      </c>
    </row>
    <row r="280" spans="1:7" s="87" customFormat="1">
      <c r="A280" s="109">
        <f>77*(A303-A203)/100+A203</f>
        <v>3.54</v>
      </c>
      <c r="B280" s="110">
        <f>Solver!$R$28 + A280 * Solver!$R$29 + A280 ^ 2 * Solver!$R$30 + A280 ^ 3 * Solver!$R$31</f>
        <v>4.428341384863125</v>
      </c>
      <c r="C280" s="110">
        <f>Solver!$R$29+2*A280*Solver!$R$30+3*A280^2*Solver!$R$31</f>
        <v>2.8755463538072239</v>
      </c>
      <c r="D280" s="110">
        <f xml:space="preserve">  2  *Solver!$R$30 + 6 * A280 * Solver!$R$31</f>
        <v>0</v>
      </c>
      <c r="E280" s="110">
        <f xml:space="preserve"> (2  *Solver!$R$30 + 6 * A280 * Solver!$R$31)*constants!$B$12</f>
        <v>0</v>
      </c>
      <c r="F280" s="110">
        <f xml:space="preserve"> 6 * Solver!$R$31* constants!$B$12</f>
        <v>0</v>
      </c>
      <c r="G280" s="111">
        <f>IF(A280=Main!$E$6,F281-F280,IF(A280=Main!$G$6,F281-F280,IF(A280=Main!$C$6,F280,IF(A280=Main!$I$6,-F280,0))))</f>
        <v>0</v>
      </c>
    </row>
    <row r="281" spans="1:7" s="87" customFormat="1">
      <c r="A281" s="109">
        <f>78*(A303-A203)/100+A203</f>
        <v>3.56</v>
      </c>
      <c r="B281" s="110">
        <f>Solver!$R$28 + A281 * Solver!$R$29 + A281 ^ 2 * Solver!$R$30 + A281 ^ 3 * Solver!$R$31</f>
        <v>4.4858523119392695</v>
      </c>
      <c r="C281" s="110">
        <f>Solver!$R$29+2*A281*Solver!$R$30+3*A281^2*Solver!$R$31</f>
        <v>2.8755463538072239</v>
      </c>
      <c r="D281" s="110">
        <f xml:space="preserve">  2  *Solver!$R$30 + 6 * A281 * Solver!$R$31</f>
        <v>0</v>
      </c>
      <c r="E281" s="110">
        <f xml:space="preserve"> (2  *Solver!$R$30 + 6 * A281 * Solver!$R$31)*constants!$B$12</f>
        <v>0</v>
      </c>
      <c r="F281" s="110">
        <f xml:space="preserve"> 6 * Solver!$R$31* constants!$B$12</f>
        <v>0</v>
      </c>
      <c r="G281" s="111">
        <f>IF(A281=Main!$E$6,F282-F281,IF(A281=Main!$G$6,F282-F281,IF(A281=Main!$C$6,F281,IF(A281=Main!$I$6,-F281,0))))</f>
        <v>0</v>
      </c>
    </row>
    <row r="282" spans="1:7" s="87" customFormat="1">
      <c r="A282" s="109">
        <f>79*(A303-A203)/100+A203</f>
        <v>3.58</v>
      </c>
      <c r="B282" s="110">
        <f>Solver!$R$28 + A282 * Solver!$R$29 + A282 ^ 2 * Solver!$R$30 + A282 ^ 3 * Solver!$R$31</f>
        <v>4.5433632390154139</v>
      </c>
      <c r="C282" s="110">
        <f>Solver!$R$29+2*A282*Solver!$R$30+3*A282^2*Solver!$R$31</f>
        <v>2.8755463538072239</v>
      </c>
      <c r="D282" s="110">
        <f xml:space="preserve">  2  *Solver!$R$30 + 6 * A282 * Solver!$R$31</f>
        <v>0</v>
      </c>
      <c r="E282" s="110">
        <f xml:space="preserve"> (2  *Solver!$R$30 + 6 * A282 * Solver!$R$31)*constants!$B$12</f>
        <v>0</v>
      </c>
      <c r="F282" s="110">
        <f xml:space="preserve"> 6 * Solver!$R$31* constants!$B$12</f>
        <v>0</v>
      </c>
      <c r="G282" s="111">
        <f>IF(A282=Main!$E$6,F283-F282,IF(A282=Main!$G$6,F283-F282,IF(A282=Main!$C$6,F282,IF(A282=Main!$I$6,-F282,0))))</f>
        <v>0</v>
      </c>
    </row>
    <row r="283" spans="1:7">
      <c r="A283" s="109">
        <f>16*(A303-A203)/20+A203</f>
        <v>3.6</v>
      </c>
      <c r="B283" s="110">
        <f>Solver!$R$28 + A283 * Solver!$R$29 + A283 ^ 2 * Solver!$R$30 + A283 ^ 3 * Solver!$R$31</f>
        <v>4.6008741660915584</v>
      </c>
      <c r="C283" s="110">
        <f>Solver!$R$29+2*A283*Solver!$R$30+3*A283^2*Solver!$R$31</f>
        <v>2.8755463538072239</v>
      </c>
      <c r="D283" s="110">
        <f xml:space="preserve">  2  *Solver!$R$30 + 6 * A283 * Solver!$R$31</f>
        <v>0</v>
      </c>
      <c r="E283" s="110">
        <f xml:space="preserve"> (2  *Solver!$R$30 + 6 * A283 * Solver!$R$31)*constants!$B$12</f>
        <v>0</v>
      </c>
      <c r="F283" s="110">
        <f xml:space="preserve"> 6 * Solver!$R$31* constants!$B$12</f>
        <v>0</v>
      </c>
      <c r="G283" s="111">
        <f>IF(A283=Main!$E$6,F284-F283,IF(A283=Main!$G$6,F284-F283,IF(A283=Main!$C$6,F283,IF(A283=Main!$I$6,-F283,0))))</f>
        <v>0</v>
      </c>
    </row>
    <row r="284" spans="1:7" s="87" customFormat="1">
      <c r="A284" s="109">
        <f>81*(A303-A203)/100+A203</f>
        <v>3.62</v>
      </c>
      <c r="B284" s="110">
        <f>Solver!$R$28 + A284 * Solver!$R$29 + A284 ^ 2 * Solver!$R$30 + A284 ^ 3 * Solver!$R$31</f>
        <v>4.6583850931677029</v>
      </c>
      <c r="C284" s="110">
        <f>Solver!$R$29+2*A284*Solver!$R$30+3*A284^2*Solver!$R$31</f>
        <v>2.8755463538072239</v>
      </c>
      <c r="D284" s="110">
        <f xml:space="preserve">  2  *Solver!$R$30 + 6 * A284 * Solver!$R$31</f>
        <v>0</v>
      </c>
      <c r="E284" s="110">
        <f xml:space="preserve"> (2  *Solver!$R$30 + 6 * A284 * Solver!$R$31)*constants!$B$12</f>
        <v>0</v>
      </c>
      <c r="F284" s="110">
        <f xml:space="preserve"> 6 * Solver!$R$31* constants!$B$12</f>
        <v>0</v>
      </c>
      <c r="G284" s="111">
        <f>IF(A284=Main!$E$6,F285-F284,IF(A284=Main!$G$6,F285-F284,IF(A284=Main!$C$6,F284,IF(A284=Main!$I$6,-F284,0))))</f>
        <v>0</v>
      </c>
    </row>
    <row r="285" spans="1:7" s="87" customFormat="1">
      <c r="A285" s="109">
        <f>82*(A303-A203)/100+A203</f>
        <v>3.6399999999999997</v>
      </c>
      <c r="B285" s="110">
        <f>Solver!$R$28 + A285 * Solver!$R$29 + A285 ^ 2 * Solver!$R$30 + A285 ^ 3 * Solver!$R$31</f>
        <v>4.7158960202438456</v>
      </c>
      <c r="C285" s="110">
        <f>Solver!$R$29+2*A285*Solver!$R$30+3*A285^2*Solver!$R$31</f>
        <v>2.8755463538072239</v>
      </c>
      <c r="D285" s="110">
        <f xml:space="preserve">  2  *Solver!$R$30 + 6 * A285 * Solver!$R$31</f>
        <v>0</v>
      </c>
      <c r="E285" s="110">
        <f xml:space="preserve"> (2  *Solver!$R$30 + 6 * A285 * Solver!$R$31)*constants!$B$12</f>
        <v>0</v>
      </c>
      <c r="F285" s="110">
        <f xml:space="preserve"> 6 * Solver!$R$31* constants!$B$12</f>
        <v>0</v>
      </c>
      <c r="G285" s="111">
        <f>IF(A285=Main!$E$6,F286-F285,IF(A285=Main!$G$6,F286-F285,IF(A285=Main!$C$6,F285,IF(A285=Main!$I$6,-F285,0))))</f>
        <v>0</v>
      </c>
    </row>
    <row r="286" spans="1:7" s="87" customFormat="1">
      <c r="A286" s="109">
        <f>83*(A303-A203)/100+A203</f>
        <v>3.66</v>
      </c>
      <c r="B286" s="110">
        <f>Solver!$R$28 + A286 * Solver!$R$29 + A286 ^ 2 * Solver!$R$30 + A286 ^ 3 * Solver!$R$31</f>
        <v>4.7734069473199918</v>
      </c>
      <c r="C286" s="110">
        <f>Solver!$R$29+2*A286*Solver!$R$30+3*A286^2*Solver!$R$31</f>
        <v>2.8755463538072239</v>
      </c>
      <c r="D286" s="110">
        <f xml:space="preserve">  2  *Solver!$R$30 + 6 * A286 * Solver!$R$31</f>
        <v>0</v>
      </c>
      <c r="E286" s="110">
        <f xml:space="preserve"> (2  *Solver!$R$30 + 6 * A286 * Solver!$R$31)*constants!$B$12</f>
        <v>0</v>
      </c>
      <c r="F286" s="110">
        <f xml:space="preserve"> 6 * Solver!$R$31* constants!$B$12</f>
        <v>0</v>
      </c>
      <c r="G286" s="111">
        <f>IF(A286=Main!$E$6,F287-F286,IF(A286=Main!$G$6,F287-F286,IF(A286=Main!$C$6,F286,IF(A286=Main!$I$6,-F286,0))))</f>
        <v>0</v>
      </c>
    </row>
    <row r="287" spans="1:7" s="87" customFormat="1">
      <c r="A287" s="109">
        <f>84*(A303-A203)/100+A203</f>
        <v>3.6799999999999997</v>
      </c>
      <c r="B287" s="110">
        <f>Solver!$R$28 + A287 * Solver!$R$29 + A287 ^ 2 * Solver!$R$30 + A287 ^ 3 * Solver!$R$31</f>
        <v>4.8309178743961345</v>
      </c>
      <c r="C287" s="110">
        <f>Solver!$R$29+2*A287*Solver!$R$30+3*A287^2*Solver!$R$31</f>
        <v>2.8755463538072239</v>
      </c>
      <c r="D287" s="110">
        <f xml:space="preserve">  2  *Solver!$R$30 + 6 * A287 * Solver!$R$31</f>
        <v>0</v>
      </c>
      <c r="E287" s="110">
        <f xml:space="preserve"> (2  *Solver!$R$30 + 6 * A287 * Solver!$R$31)*constants!$B$12</f>
        <v>0</v>
      </c>
      <c r="F287" s="110">
        <f xml:space="preserve"> 6 * Solver!$R$31* constants!$B$12</f>
        <v>0</v>
      </c>
      <c r="G287" s="111">
        <f>IF(A287=Main!$E$6,F288-F287,IF(A287=Main!$G$6,F288-F287,IF(A287=Main!$C$6,F287,IF(A287=Main!$I$6,-F287,0))))</f>
        <v>0</v>
      </c>
    </row>
    <row r="288" spans="1:7">
      <c r="A288" s="109">
        <f>17*(A303-A203)/20+A203</f>
        <v>3.7</v>
      </c>
      <c r="B288" s="110">
        <f>Solver!$R$28 + A288 * Solver!$R$29 + A288 ^ 2 * Solver!$R$30 + A288 ^ 3 * Solver!$R$31</f>
        <v>4.8884288014722808</v>
      </c>
      <c r="C288" s="110">
        <f>Solver!$R$29+2*A288*Solver!$R$30+3*A288^2*Solver!$R$31</f>
        <v>2.8755463538072239</v>
      </c>
      <c r="D288" s="110">
        <f xml:space="preserve">  2  *Solver!$R$30 + 6 * A288 * Solver!$R$31</f>
        <v>0</v>
      </c>
      <c r="E288" s="110">
        <f xml:space="preserve"> (2  *Solver!$R$30 + 6 * A288 * Solver!$R$31)*constants!$B$12</f>
        <v>0</v>
      </c>
      <c r="F288" s="110">
        <f xml:space="preserve"> 6 * Solver!$R$31* constants!$B$12</f>
        <v>0</v>
      </c>
      <c r="G288" s="111">
        <f>IF(A288=Main!$E$6,F289-F288,IF(A288=Main!$G$6,F289-F288,IF(A288=Main!$C$6,F288,IF(A288=Main!$I$6,-F288,0))))</f>
        <v>0</v>
      </c>
    </row>
    <row r="289" spans="1:7" s="87" customFormat="1">
      <c r="A289" s="109">
        <f>86*(A303-A203)/100+A203</f>
        <v>3.7199999999999998</v>
      </c>
      <c r="B289" s="110">
        <f>Solver!$R$28 + A289 * Solver!$R$29 + A289 ^ 2 * Solver!$R$30 + A289 ^ 3 * Solver!$R$31</f>
        <v>4.9459397285484252</v>
      </c>
      <c r="C289" s="110">
        <f>Solver!$R$29+2*A289*Solver!$R$30+3*A289^2*Solver!$R$31</f>
        <v>2.8755463538072239</v>
      </c>
      <c r="D289" s="110">
        <f xml:space="preserve">  2  *Solver!$R$30 + 6 * A289 * Solver!$R$31</f>
        <v>0</v>
      </c>
      <c r="E289" s="110">
        <f xml:space="preserve"> (2  *Solver!$R$30 + 6 * A289 * Solver!$R$31)*constants!$B$12</f>
        <v>0</v>
      </c>
      <c r="F289" s="110">
        <f xml:space="preserve"> 6 * Solver!$R$31* constants!$B$12</f>
        <v>0</v>
      </c>
      <c r="G289" s="111">
        <f>IF(A289=Main!$E$6,F290-F289,IF(A289=Main!$G$6,F290-F289,IF(A289=Main!$C$6,F289,IF(A289=Main!$I$6,-F289,0))))</f>
        <v>0</v>
      </c>
    </row>
    <row r="290" spans="1:7" s="87" customFormat="1">
      <c r="A290" s="109">
        <f>87*(A303-A203)/100+A203</f>
        <v>3.74</v>
      </c>
      <c r="B290" s="110">
        <f>Solver!$R$28 + A290 * Solver!$R$29 + A290 ^ 2 * Solver!$R$30 + A290 ^ 3 * Solver!$R$31</f>
        <v>5.0034506556245697</v>
      </c>
      <c r="C290" s="110">
        <f>Solver!$R$29+2*A290*Solver!$R$30+3*A290^2*Solver!$R$31</f>
        <v>2.8755463538072239</v>
      </c>
      <c r="D290" s="110">
        <f xml:space="preserve">  2  *Solver!$R$30 + 6 * A290 * Solver!$R$31</f>
        <v>0</v>
      </c>
      <c r="E290" s="110">
        <f xml:space="preserve"> (2  *Solver!$R$30 + 6 * A290 * Solver!$R$31)*constants!$B$12</f>
        <v>0</v>
      </c>
      <c r="F290" s="110">
        <f xml:space="preserve"> 6 * Solver!$R$31* constants!$B$12</f>
        <v>0</v>
      </c>
      <c r="G290" s="111">
        <f>IF(A290=Main!$E$6,F291-F290,IF(A290=Main!$G$6,F291-F290,IF(A290=Main!$C$6,F290,IF(A290=Main!$I$6,-F290,0))))</f>
        <v>0</v>
      </c>
    </row>
    <row r="291" spans="1:7" s="87" customFormat="1">
      <c r="A291" s="109">
        <f>88*(A303-A203)/100+A203</f>
        <v>3.76</v>
      </c>
      <c r="B291" s="110">
        <f>Solver!$R$28 + A291 * Solver!$R$29 + A291 ^ 2 * Solver!$R$30 + A291 ^ 3 * Solver!$R$31</f>
        <v>5.0609615827007142</v>
      </c>
      <c r="C291" s="110">
        <f>Solver!$R$29+2*A291*Solver!$R$30+3*A291^2*Solver!$R$31</f>
        <v>2.8755463538072239</v>
      </c>
      <c r="D291" s="110">
        <f xml:space="preserve">  2  *Solver!$R$30 + 6 * A291 * Solver!$R$31</f>
        <v>0</v>
      </c>
      <c r="E291" s="110">
        <f xml:space="preserve"> (2  *Solver!$R$30 + 6 * A291 * Solver!$R$31)*constants!$B$12</f>
        <v>0</v>
      </c>
      <c r="F291" s="110">
        <f xml:space="preserve"> 6 * Solver!$R$31* constants!$B$12</f>
        <v>0</v>
      </c>
      <c r="G291" s="111">
        <f>IF(A291=Main!$E$6,F292-F291,IF(A291=Main!$G$6,F292-F291,IF(A291=Main!$C$6,F291,IF(A291=Main!$I$6,-F291,0))))</f>
        <v>0</v>
      </c>
    </row>
    <row r="292" spans="1:7" s="87" customFormat="1">
      <c r="A292" s="109">
        <f>89*(A303-A203)/100+A203</f>
        <v>3.7800000000000002</v>
      </c>
      <c r="B292" s="110">
        <f>Solver!$R$28 + A292 * Solver!$R$29 + A292 ^ 2 * Solver!$R$30 + A292 ^ 3 * Solver!$R$31</f>
        <v>5.1184725097768586</v>
      </c>
      <c r="C292" s="110">
        <f>Solver!$R$29+2*A292*Solver!$R$30+3*A292^2*Solver!$R$31</f>
        <v>2.8755463538072239</v>
      </c>
      <c r="D292" s="110">
        <f xml:space="preserve">  2  *Solver!$R$30 + 6 * A292 * Solver!$R$31</f>
        <v>0</v>
      </c>
      <c r="E292" s="110">
        <f xml:space="preserve"> (2  *Solver!$R$30 + 6 * A292 * Solver!$R$31)*constants!$B$12</f>
        <v>0</v>
      </c>
      <c r="F292" s="110">
        <f xml:space="preserve"> 6 * Solver!$R$31* constants!$B$12</f>
        <v>0</v>
      </c>
      <c r="G292" s="111">
        <f>IF(A292=Main!$E$6,F293-F292,IF(A292=Main!$G$6,F293-F292,IF(A292=Main!$C$6,F292,IF(A292=Main!$I$6,-F292,0))))</f>
        <v>0</v>
      </c>
    </row>
    <row r="293" spans="1:7">
      <c r="A293" s="109">
        <f>18*(A303-A203)/20+A203</f>
        <v>3.8</v>
      </c>
      <c r="B293" s="110">
        <f>Solver!$R$28 + A293 * Solver!$R$29 + A293 ^ 2 * Solver!$R$30 + A293 ^ 3 * Solver!$R$31</f>
        <v>5.1759834368530031</v>
      </c>
      <c r="C293" s="110">
        <f>Solver!$R$29+2*A293*Solver!$R$30+3*A293^2*Solver!$R$31</f>
        <v>2.8755463538072239</v>
      </c>
      <c r="D293" s="110">
        <f xml:space="preserve">  2  *Solver!$R$30 + 6 * A293 * Solver!$R$31</f>
        <v>0</v>
      </c>
      <c r="E293" s="110">
        <f xml:space="preserve"> (2  *Solver!$R$30 + 6 * A293 * Solver!$R$31)*constants!$B$12</f>
        <v>0</v>
      </c>
      <c r="F293" s="110">
        <f xml:space="preserve"> 6 * Solver!$R$31* constants!$B$12</f>
        <v>0</v>
      </c>
      <c r="G293" s="111">
        <f>IF(A293=Main!$E$6,F294-F293,IF(A293=Main!$G$6,F294-F293,IF(A293=Main!$C$6,F293,IF(A293=Main!$I$6,-F293,0))))</f>
        <v>0</v>
      </c>
    </row>
    <row r="294" spans="1:7" s="87" customFormat="1">
      <c r="A294" s="109">
        <f>91*(A303-A203)/100+A203</f>
        <v>3.8200000000000003</v>
      </c>
      <c r="B294" s="110">
        <f>Solver!$R$28 + A294 * Solver!$R$29 + A294 ^ 2 * Solver!$R$30 + A294 ^ 3 * Solver!$R$31</f>
        <v>5.2334943639291476</v>
      </c>
      <c r="C294" s="110">
        <f>Solver!$R$29+2*A294*Solver!$R$30+3*A294^2*Solver!$R$31</f>
        <v>2.8755463538072239</v>
      </c>
      <c r="D294" s="110">
        <f xml:space="preserve">  2  *Solver!$R$30 + 6 * A294 * Solver!$R$31</f>
        <v>0</v>
      </c>
      <c r="E294" s="110">
        <f xml:space="preserve"> (2  *Solver!$R$30 + 6 * A294 * Solver!$R$31)*constants!$B$12</f>
        <v>0</v>
      </c>
      <c r="F294" s="110">
        <f xml:space="preserve"> 6 * Solver!$R$31* constants!$B$12</f>
        <v>0</v>
      </c>
      <c r="G294" s="111">
        <f>IF(A294=Main!$E$6,F295-F294,IF(A294=Main!$G$6,F295-F294,IF(A294=Main!$C$6,F294,IF(A294=Main!$I$6,-F294,0))))</f>
        <v>0</v>
      </c>
    </row>
    <row r="295" spans="1:7" s="87" customFormat="1">
      <c r="A295" s="109">
        <f>92*(A303-A203)/100+A203</f>
        <v>3.84</v>
      </c>
      <c r="B295" s="110">
        <f>Solver!$R$28 + A295 * Solver!$R$29 + A295 ^ 2 * Solver!$R$30 + A295 ^ 3 * Solver!$R$31</f>
        <v>5.291005291005292</v>
      </c>
      <c r="C295" s="110">
        <f>Solver!$R$29+2*A295*Solver!$R$30+3*A295^2*Solver!$R$31</f>
        <v>2.8755463538072239</v>
      </c>
      <c r="D295" s="110">
        <f xml:space="preserve">  2  *Solver!$R$30 + 6 * A295 * Solver!$R$31</f>
        <v>0</v>
      </c>
      <c r="E295" s="110">
        <f xml:space="preserve"> (2  *Solver!$R$30 + 6 * A295 * Solver!$R$31)*constants!$B$12</f>
        <v>0</v>
      </c>
      <c r="F295" s="110">
        <f xml:space="preserve"> 6 * Solver!$R$31* constants!$B$12</f>
        <v>0</v>
      </c>
      <c r="G295" s="111">
        <f>IF(A295=Main!$E$6,F296-F295,IF(A295=Main!$G$6,F296-F295,IF(A295=Main!$C$6,F295,IF(A295=Main!$I$6,-F295,0))))</f>
        <v>0</v>
      </c>
    </row>
    <row r="296" spans="1:7" s="87" customFormat="1">
      <c r="A296" s="109">
        <f>93*(A303-A203)/100+A203</f>
        <v>3.8600000000000003</v>
      </c>
      <c r="B296" s="110">
        <f>Solver!$R$28 + A296 * Solver!$R$29 + A296 ^ 2 * Solver!$R$30 + A296 ^ 3 * Solver!$R$31</f>
        <v>5.3485162180814365</v>
      </c>
      <c r="C296" s="110">
        <f>Solver!$R$29+2*A296*Solver!$R$30+3*A296^2*Solver!$R$31</f>
        <v>2.8755463538072239</v>
      </c>
      <c r="D296" s="110">
        <f xml:space="preserve">  2  *Solver!$R$30 + 6 * A296 * Solver!$R$31</f>
        <v>0</v>
      </c>
      <c r="E296" s="110">
        <f xml:space="preserve"> (2  *Solver!$R$30 + 6 * A296 * Solver!$R$31)*constants!$B$12</f>
        <v>0</v>
      </c>
      <c r="F296" s="110">
        <f xml:space="preserve"> 6 * Solver!$R$31* constants!$B$12</f>
        <v>0</v>
      </c>
      <c r="G296" s="111">
        <f>IF(A296=Main!$E$6,F297-F296,IF(A296=Main!$G$6,F297-F296,IF(A296=Main!$C$6,F296,IF(A296=Main!$I$6,-F296,0))))</f>
        <v>0</v>
      </c>
    </row>
    <row r="297" spans="1:7" s="87" customFormat="1">
      <c r="A297" s="109">
        <f>94*(A303-A203)/100+A203</f>
        <v>3.88</v>
      </c>
      <c r="B297" s="110">
        <f>Solver!$R$28 + A297 * Solver!$R$29 + A297 ^ 2 * Solver!$R$30 + A297 ^ 3 * Solver!$R$31</f>
        <v>5.406027145157581</v>
      </c>
      <c r="C297" s="110">
        <f>Solver!$R$29+2*A297*Solver!$R$30+3*A297^2*Solver!$R$31</f>
        <v>2.8755463538072239</v>
      </c>
      <c r="D297" s="110">
        <f xml:space="preserve">  2  *Solver!$R$30 + 6 * A297 * Solver!$R$31</f>
        <v>0</v>
      </c>
      <c r="E297" s="110">
        <f xml:space="preserve"> (2  *Solver!$R$30 + 6 * A297 * Solver!$R$31)*constants!$B$12</f>
        <v>0</v>
      </c>
      <c r="F297" s="110">
        <f xml:space="preserve"> 6 * Solver!$R$31* constants!$B$12</f>
        <v>0</v>
      </c>
      <c r="G297" s="111">
        <f>IF(A297=Main!$E$6,F298-F297,IF(A297=Main!$G$6,F298-F297,IF(A297=Main!$C$6,F297,IF(A297=Main!$I$6,-F297,0))))</f>
        <v>0</v>
      </c>
    </row>
    <row r="298" spans="1:7">
      <c r="A298" s="109">
        <f>19*(A303-A203)/20+A203</f>
        <v>3.9</v>
      </c>
      <c r="B298" s="110">
        <f>Solver!$R$28 + A298 * Solver!$R$29 + A298 ^ 2 * Solver!$R$30 + A298 ^ 3 * Solver!$R$31</f>
        <v>5.4635380722337255</v>
      </c>
      <c r="C298" s="110">
        <f>Solver!$R$29+2*A298*Solver!$R$30+3*A298^2*Solver!$R$31</f>
        <v>2.8755463538072239</v>
      </c>
      <c r="D298" s="110">
        <f xml:space="preserve">  2  *Solver!$R$30 + 6 * A298 * Solver!$R$31</f>
        <v>0</v>
      </c>
      <c r="E298" s="110">
        <f xml:space="preserve"> (2  *Solver!$R$30 + 6 * A298 * Solver!$R$31)*constants!$B$12</f>
        <v>0</v>
      </c>
      <c r="F298" s="110">
        <f xml:space="preserve"> 6 * Solver!$R$31* constants!$B$12</f>
        <v>0</v>
      </c>
      <c r="G298" s="111">
        <f>IF(A298=Main!$E$6,F299-F298,IF(A298=Main!$G$6,F299-F298,IF(A298=Main!$C$6,F298,IF(A298=Main!$I$6,-F298,0))))</f>
        <v>0</v>
      </c>
    </row>
    <row r="299" spans="1:7" s="87" customFormat="1">
      <c r="A299" s="109">
        <f>96*(A303-A203)/100+A203</f>
        <v>3.92</v>
      </c>
      <c r="B299" s="110">
        <f>Solver!$R$28 + A299 * Solver!$R$29 + A299 ^ 2 * Solver!$R$30 + A299 ^ 3 * Solver!$R$31</f>
        <v>5.5210489993098699</v>
      </c>
      <c r="C299" s="110">
        <f>Solver!$R$29+2*A299*Solver!$R$30+3*A299^2*Solver!$R$31</f>
        <v>2.8755463538072239</v>
      </c>
      <c r="D299" s="110">
        <f xml:space="preserve">  2  *Solver!$R$30 + 6 * A299 * Solver!$R$31</f>
        <v>0</v>
      </c>
      <c r="E299" s="110">
        <f xml:space="preserve"> (2  *Solver!$R$30 + 6 * A299 * Solver!$R$31)*constants!$B$12</f>
        <v>0</v>
      </c>
      <c r="F299" s="110">
        <f xml:space="preserve"> 6 * Solver!$R$31* constants!$B$12</f>
        <v>0</v>
      </c>
      <c r="G299" s="111">
        <f>IF(A299=Main!$E$6,F300-F299,IF(A299=Main!$G$6,F300-F299,IF(A299=Main!$C$6,F299,IF(A299=Main!$I$6,-F299,0))))</f>
        <v>0</v>
      </c>
    </row>
    <row r="300" spans="1:7" s="87" customFormat="1">
      <c r="A300" s="109">
        <f>97*(A303-A203)/100+A203</f>
        <v>3.94</v>
      </c>
      <c r="B300" s="110">
        <f>Solver!$R$28 + A300 * Solver!$R$29 + A300 ^ 2 * Solver!$R$30 + A300 ^ 3 * Solver!$R$31</f>
        <v>5.5785599263860144</v>
      </c>
      <c r="C300" s="110">
        <f>Solver!$R$29+2*A300*Solver!$R$30+3*A300^2*Solver!$R$31</f>
        <v>2.8755463538072239</v>
      </c>
      <c r="D300" s="110">
        <f xml:space="preserve">  2  *Solver!$R$30 + 6 * A300 * Solver!$R$31</f>
        <v>0</v>
      </c>
      <c r="E300" s="110">
        <f xml:space="preserve"> (2  *Solver!$R$30 + 6 * A300 * Solver!$R$31)*constants!$B$12</f>
        <v>0</v>
      </c>
      <c r="F300" s="110">
        <f xml:space="preserve"> 6 * Solver!$R$31* constants!$B$12</f>
        <v>0</v>
      </c>
      <c r="G300" s="111">
        <f>IF(A300=Main!$E$6,F301-F300,IF(A300=Main!$G$6,F301-F300,IF(A300=Main!$C$6,F300,IF(A300=Main!$I$6,-F300,0))))</f>
        <v>0</v>
      </c>
    </row>
    <row r="301" spans="1:7" s="87" customFormat="1">
      <c r="A301" s="109">
        <f>98*(A303-A203)/100+A203</f>
        <v>3.96</v>
      </c>
      <c r="B301" s="110">
        <f>Solver!$R$28 + A301 * Solver!$R$29 + A301 ^ 2 * Solver!$R$30 + A301 ^ 3 * Solver!$R$31</f>
        <v>5.6360708534621589</v>
      </c>
      <c r="C301" s="110">
        <f>Solver!$R$29+2*A301*Solver!$R$30+3*A301^2*Solver!$R$31</f>
        <v>2.8755463538072239</v>
      </c>
      <c r="D301" s="110">
        <f xml:space="preserve">  2  *Solver!$R$30 + 6 * A301 * Solver!$R$31</f>
        <v>0</v>
      </c>
      <c r="E301" s="110">
        <f xml:space="preserve"> (2  *Solver!$R$30 + 6 * A301 * Solver!$R$31)*constants!$B$12</f>
        <v>0</v>
      </c>
      <c r="F301" s="110">
        <f xml:space="preserve"> 6 * Solver!$R$31* constants!$B$12</f>
        <v>0</v>
      </c>
      <c r="G301" s="111">
        <f>IF(A301=Main!$E$6,F302-F301,IF(A301=Main!$G$6,F302-F301,IF(A301=Main!$C$6,F301,IF(A301=Main!$I$6,-F301,0))))</f>
        <v>0</v>
      </c>
    </row>
    <row r="302" spans="1:7" s="87" customFormat="1">
      <c r="A302" s="109">
        <f>99*(A303-A203)/100+A203</f>
        <v>3.98</v>
      </c>
      <c r="B302" s="110">
        <f>Solver!$R$28 + A302 * Solver!$R$29 + A302 ^ 2 * Solver!$R$30 + A302 ^ 3 * Solver!$R$31</f>
        <v>5.6935817805383033</v>
      </c>
      <c r="C302" s="110">
        <f>Solver!$R$29+2*A302*Solver!$R$30+3*A302^2*Solver!$R$31</f>
        <v>2.8755463538072239</v>
      </c>
      <c r="D302" s="110">
        <f xml:space="preserve">  2  *Solver!$R$30 + 6 * A302 * Solver!$R$31</f>
        <v>0</v>
      </c>
      <c r="E302" s="110">
        <f xml:space="preserve"> (2  *Solver!$R$30 + 6 * A302 * Solver!$R$31)*constants!$B$12</f>
        <v>0</v>
      </c>
      <c r="F302" s="110">
        <f xml:space="preserve"> 6 * Solver!$R$31* constants!$B$12</f>
        <v>0</v>
      </c>
      <c r="G302" s="111">
        <f>IF(A302=Main!$E$6,F303-F302,IF(A302=Main!$G$6,F303-F302,IF(A302=Main!$C$6,F302,IF(A302=Main!$I$6,-F302,0))))</f>
        <v>0</v>
      </c>
    </row>
    <row r="303" spans="1:7" s="106" customFormat="1" ht="15.75" thickBot="1">
      <c r="A303" s="113">
        <f>Main!I6</f>
        <v>4</v>
      </c>
      <c r="B303" s="114">
        <f>Solver!$R$28 + A303 * Solver!$R$29 + A303 ^ 2 * Solver!$R$30 + A303 ^ 3 * Solver!$R$31</f>
        <v>5.7510927076144478</v>
      </c>
      <c r="C303" s="114">
        <f>Solver!$R$29+2*A303*Solver!$R$30+3*A303^2*Solver!$R$31</f>
        <v>2.8755463538072239</v>
      </c>
      <c r="D303" s="114">
        <f xml:space="preserve">  2  *Solver!$R$30 + 6 * A303 * Solver!$R$31</f>
        <v>0</v>
      </c>
      <c r="E303" s="114">
        <f xml:space="preserve"> (2  *Solver!$R$30 + 6 * A303 * Solver!$R$31)*constants!$B$12</f>
        <v>0</v>
      </c>
      <c r="F303" s="114">
        <f xml:space="preserve"> 6 * Solver!$R$31* constants!$B$12</f>
        <v>0</v>
      </c>
      <c r="G303" s="115">
        <f>IF(A303=Main!$E$6,F304-F303,IF(A303=Main!$G$6,F304-F303,IF(A303=Main!$C$6,F303,IF(A303=Main!$I$6,-F303,0))))</f>
        <v>0</v>
      </c>
    </row>
    <row r="304" spans="1:7" s="87" customFormat="1">
      <c r="A304" s="108"/>
      <c r="B304" s="108"/>
      <c r="C304" s="108"/>
      <c r="D304" s="108"/>
      <c r="E304" s="108"/>
      <c r="F304" s="108"/>
      <c r="G304" s="108"/>
    </row>
    <row r="305" spans="1:7" s="87" customFormat="1">
      <c r="A305" s="108"/>
      <c r="B305" s="108"/>
      <c r="C305" s="108"/>
      <c r="D305" s="108"/>
      <c r="E305" s="108"/>
      <c r="F305" s="108"/>
      <c r="G305" s="108"/>
    </row>
    <row r="306" spans="1:7" s="87" customFormat="1">
      <c r="A306" s="108"/>
      <c r="B306" s="108"/>
      <c r="C306" s="108"/>
      <c r="D306" s="108"/>
      <c r="E306" s="108"/>
      <c r="F306" s="108"/>
      <c r="G306" s="108"/>
    </row>
    <row r="307" spans="1:7" s="87" customFormat="1">
      <c r="A307" s="108"/>
      <c r="B307" s="108"/>
      <c r="C307" s="108"/>
      <c r="D307" s="108"/>
      <c r="E307" s="108"/>
      <c r="F307" s="108"/>
      <c r="G307" s="108"/>
    </row>
    <row r="308" spans="1:7" s="87" customFormat="1">
      <c r="A308" s="108"/>
      <c r="B308" s="108"/>
      <c r="C308" s="108"/>
      <c r="D308" s="108"/>
      <c r="E308" s="108"/>
      <c r="F308" s="108"/>
      <c r="G308" s="108"/>
    </row>
    <row r="309" spans="1:7" s="87" customFormat="1">
      <c r="A309" s="108"/>
      <c r="B309" s="108"/>
      <c r="C309" s="108"/>
      <c r="D309" s="108"/>
      <c r="E309" s="108"/>
      <c r="F309" s="108"/>
      <c r="G309" s="108"/>
    </row>
    <row r="310" spans="1:7" s="87" customFormat="1">
      <c r="A310" s="108"/>
      <c r="B310" s="108"/>
      <c r="C310" s="108"/>
      <c r="D310" s="108"/>
      <c r="E310" s="108"/>
      <c r="F310" s="108"/>
      <c r="G310" s="108"/>
    </row>
    <row r="311" spans="1:7" s="87" customFormat="1">
      <c r="A311" s="108"/>
      <c r="B311" s="108"/>
      <c r="C311" s="108"/>
      <c r="D311" s="108"/>
      <c r="E311" s="108"/>
      <c r="F311" s="108"/>
      <c r="G311" s="108"/>
    </row>
    <row r="312" spans="1:7" s="87" customFormat="1">
      <c r="A312" s="108"/>
      <c r="B312" s="108"/>
      <c r="C312" s="108"/>
      <c r="D312" s="108"/>
      <c r="E312" s="108"/>
      <c r="F312" s="108"/>
      <c r="G312" s="108"/>
    </row>
    <row r="313" spans="1:7" s="87" customFormat="1">
      <c r="A313" s="108"/>
      <c r="B313" s="108"/>
      <c r="C313" s="108"/>
      <c r="D313" s="108"/>
      <c r="E313" s="108"/>
      <c r="F313" s="108"/>
      <c r="G313" s="108"/>
    </row>
    <row r="314" spans="1:7" s="87" customFormat="1">
      <c r="A314" s="108"/>
      <c r="B314" s="108"/>
      <c r="C314" s="108"/>
      <c r="D314" s="108"/>
      <c r="E314" s="108"/>
      <c r="F314" s="108"/>
      <c r="G314" s="108"/>
    </row>
    <row r="315" spans="1:7" s="87" customFormat="1">
      <c r="A315" s="108"/>
      <c r="B315" s="108"/>
      <c r="C315" s="108"/>
      <c r="D315" s="108"/>
      <c r="E315" s="108"/>
      <c r="F315" s="108"/>
      <c r="G315" s="108"/>
    </row>
    <row r="316" spans="1:7" s="87" customFormat="1">
      <c r="A316" s="108"/>
      <c r="B316" s="108"/>
      <c r="C316" s="108"/>
      <c r="D316" s="108"/>
      <c r="E316" s="108"/>
      <c r="F316" s="108"/>
      <c r="G316" s="108"/>
    </row>
    <row r="317" spans="1:7" s="87" customFormat="1">
      <c r="A317" s="108"/>
      <c r="B317" s="108"/>
      <c r="C317" s="108"/>
      <c r="D317" s="108"/>
      <c r="E317" s="108"/>
      <c r="F317" s="108"/>
      <c r="G317" s="108"/>
    </row>
    <row r="318" spans="1:7" s="87" customFormat="1">
      <c r="A318" s="108"/>
      <c r="B318" s="108"/>
      <c r="C318" s="108"/>
      <c r="D318" s="108"/>
      <c r="E318" s="108"/>
      <c r="F318" s="108"/>
      <c r="G318" s="108"/>
    </row>
    <row r="319" spans="1:7" s="87" customFormat="1">
      <c r="A319" s="108"/>
      <c r="B319" s="108"/>
      <c r="C319" s="108"/>
      <c r="D319" s="108"/>
      <c r="E319" s="108"/>
      <c r="F319" s="108"/>
      <c r="G319" s="108"/>
    </row>
    <row r="320" spans="1:7" s="87" customFormat="1">
      <c r="A320" s="108"/>
      <c r="B320" s="108"/>
      <c r="C320" s="108"/>
      <c r="D320" s="108"/>
      <c r="E320" s="108"/>
      <c r="F320" s="108"/>
      <c r="G320" s="108"/>
    </row>
    <row r="321" spans="1:7" s="87" customFormat="1">
      <c r="A321" s="108"/>
      <c r="B321" s="108"/>
      <c r="C321" s="108"/>
      <c r="D321" s="108"/>
      <c r="E321" s="108"/>
      <c r="F321" s="108"/>
      <c r="G321" s="108"/>
    </row>
    <row r="322" spans="1:7" s="87" customFormat="1">
      <c r="A322" s="108"/>
      <c r="B322" s="108"/>
      <c r="C322" s="108"/>
      <c r="D322" s="108"/>
      <c r="E322" s="108"/>
      <c r="F322" s="108"/>
      <c r="G322" s="108"/>
    </row>
    <row r="323" spans="1:7" s="87" customFormat="1">
      <c r="A323" s="108"/>
      <c r="B323" s="108"/>
      <c r="C323" s="108"/>
      <c r="D323" s="108"/>
      <c r="E323" s="108"/>
      <c r="F323" s="108"/>
      <c r="G323" s="108"/>
    </row>
    <row r="324" spans="1:7" s="87" customFormat="1">
      <c r="A324" s="108"/>
      <c r="B324" s="108"/>
      <c r="C324" s="108"/>
      <c r="D324" s="108"/>
      <c r="E324" s="108"/>
      <c r="F324" s="108"/>
      <c r="G324" s="108"/>
    </row>
    <row r="325" spans="1:7" s="87" customFormat="1">
      <c r="A325" s="108"/>
      <c r="B325" s="108"/>
      <c r="C325" s="108"/>
      <c r="D325" s="108"/>
      <c r="E325" s="108"/>
      <c r="F325" s="108"/>
      <c r="G325" s="108"/>
    </row>
    <row r="326" spans="1:7" s="87" customFormat="1">
      <c r="A326" s="108"/>
      <c r="B326" s="108"/>
      <c r="C326" s="108"/>
      <c r="D326" s="108"/>
      <c r="E326" s="108"/>
      <c r="F326" s="108"/>
      <c r="G326" s="108"/>
    </row>
    <row r="327" spans="1:7" s="87" customFormat="1">
      <c r="A327" s="108"/>
      <c r="B327" s="108"/>
      <c r="C327" s="108"/>
      <c r="D327" s="108"/>
      <c r="E327" s="108"/>
      <c r="F327" s="108"/>
      <c r="G327" s="108"/>
    </row>
    <row r="328" spans="1:7" s="87" customFormat="1">
      <c r="A328" s="108"/>
      <c r="B328" s="108"/>
      <c r="C328" s="108"/>
      <c r="D328" s="108"/>
      <c r="E328" s="108"/>
      <c r="F328" s="108"/>
      <c r="G328" s="108"/>
    </row>
    <row r="329" spans="1:7" s="87" customFormat="1">
      <c r="A329" s="108"/>
      <c r="B329" s="108"/>
      <c r="C329" s="108"/>
      <c r="D329" s="108"/>
      <c r="E329" s="108"/>
      <c r="F329" s="108"/>
      <c r="G329" s="108"/>
    </row>
    <row r="330" spans="1:7" s="87" customFormat="1">
      <c r="A330" s="108"/>
      <c r="B330" s="108"/>
      <c r="C330" s="108"/>
      <c r="D330" s="108"/>
      <c r="E330" s="108"/>
      <c r="F330" s="108"/>
      <c r="G330" s="108"/>
    </row>
    <row r="331" spans="1:7" s="87" customFormat="1">
      <c r="A331" s="108"/>
      <c r="B331" s="108"/>
      <c r="C331" s="108"/>
      <c r="D331" s="108"/>
      <c r="E331" s="108"/>
      <c r="F331" s="108"/>
      <c r="G331" s="108"/>
    </row>
    <row r="332" spans="1:7" s="87" customFormat="1">
      <c r="A332" s="108"/>
      <c r="B332" s="108"/>
      <c r="C332" s="108"/>
      <c r="D332" s="108"/>
      <c r="E332" s="108"/>
      <c r="F332" s="108"/>
      <c r="G332" s="108"/>
    </row>
    <row r="333" spans="1:7" s="87" customFormat="1">
      <c r="A333" s="108"/>
      <c r="B333" s="108"/>
      <c r="C333" s="108"/>
      <c r="D333" s="108"/>
      <c r="E333" s="108"/>
      <c r="F333" s="108"/>
      <c r="G333" s="108"/>
    </row>
    <row r="334" spans="1:7" s="87" customFormat="1">
      <c r="A334" s="108"/>
      <c r="B334" s="108"/>
      <c r="C334" s="108"/>
      <c r="D334" s="108"/>
      <c r="E334" s="108"/>
      <c r="F334" s="108"/>
      <c r="G334" s="108"/>
    </row>
    <row r="335" spans="1:7" s="87" customFormat="1">
      <c r="A335" s="108"/>
      <c r="B335" s="108"/>
      <c r="C335" s="108"/>
      <c r="D335" s="108"/>
      <c r="E335" s="108"/>
      <c r="F335" s="108"/>
      <c r="G335" s="108"/>
    </row>
    <row r="336" spans="1:7" s="87" customFormat="1">
      <c r="A336" s="108"/>
      <c r="B336" s="108"/>
      <c r="C336" s="108"/>
      <c r="D336" s="108"/>
      <c r="E336" s="108"/>
      <c r="F336" s="108"/>
      <c r="G336" s="108"/>
    </row>
    <row r="337" spans="1:7" s="87" customFormat="1">
      <c r="A337" s="108"/>
      <c r="B337" s="108"/>
      <c r="C337" s="108"/>
      <c r="D337" s="108"/>
      <c r="E337" s="108"/>
      <c r="F337" s="108"/>
      <c r="G337" s="108"/>
    </row>
    <row r="338" spans="1:7" s="87" customFormat="1">
      <c r="A338" s="108"/>
      <c r="B338" s="108"/>
      <c r="C338" s="108"/>
      <c r="D338" s="108"/>
      <c r="E338" s="108"/>
      <c r="F338" s="108"/>
      <c r="G338" s="108"/>
    </row>
    <row r="339" spans="1:7" s="87" customFormat="1">
      <c r="A339" s="108"/>
      <c r="B339" s="108"/>
      <c r="C339" s="108"/>
      <c r="D339" s="108"/>
      <c r="E339" s="108"/>
      <c r="F339" s="108"/>
      <c r="G339" s="108"/>
    </row>
    <row r="340" spans="1:7" s="87" customFormat="1">
      <c r="A340" s="108"/>
      <c r="B340" s="108"/>
      <c r="C340" s="108"/>
      <c r="D340" s="108"/>
      <c r="E340" s="108"/>
      <c r="F340" s="108"/>
      <c r="G340" s="108"/>
    </row>
    <row r="341" spans="1:7" s="87" customFormat="1">
      <c r="A341" s="108"/>
      <c r="B341" s="108"/>
      <c r="C341" s="108"/>
      <c r="D341" s="108"/>
      <c r="E341" s="108"/>
      <c r="F341" s="108"/>
      <c r="G341" s="108"/>
    </row>
    <row r="342" spans="1:7" s="87" customFormat="1">
      <c r="A342" s="108"/>
      <c r="B342" s="108"/>
      <c r="C342" s="108"/>
      <c r="D342" s="108"/>
      <c r="E342" s="108"/>
      <c r="F342" s="108"/>
      <c r="G342" s="108"/>
    </row>
    <row r="343" spans="1:7" s="87" customFormat="1">
      <c r="A343" s="108"/>
      <c r="B343" s="108"/>
      <c r="C343" s="108"/>
      <c r="D343" s="108"/>
      <c r="E343" s="108"/>
      <c r="F343" s="108"/>
      <c r="G343" s="108"/>
    </row>
    <row r="344" spans="1:7" s="87" customFormat="1">
      <c r="A344" s="108"/>
      <c r="B344" s="108"/>
      <c r="C344" s="108"/>
      <c r="D344" s="108"/>
      <c r="E344" s="108"/>
      <c r="F344" s="108"/>
      <c r="G344" s="108"/>
    </row>
    <row r="345" spans="1:7" s="87" customFormat="1">
      <c r="A345" s="108"/>
      <c r="B345" s="108"/>
      <c r="C345" s="108"/>
      <c r="D345" s="108"/>
      <c r="E345" s="108"/>
      <c r="F345" s="108"/>
      <c r="G345" s="108"/>
    </row>
    <row r="346" spans="1:7" s="87" customFormat="1">
      <c r="A346" s="108"/>
      <c r="B346" s="108"/>
      <c r="C346" s="108"/>
      <c r="D346" s="108"/>
      <c r="E346" s="108"/>
      <c r="F346" s="108"/>
      <c r="G346" s="108"/>
    </row>
    <row r="347" spans="1:7" s="87" customFormat="1">
      <c r="A347" s="108"/>
      <c r="B347" s="108"/>
      <c r="C347" s="108"/>
      <c r="D347" s="108"/>
      <c r="E347" s="108"/>
      <c r="F347" s="108"/>
      <c r="G347" s="108"/>
    </row>
    <row r="348" spans="1:7" s="87" customFormat="1">
      <c r="A348" s="108"/>
      <c r="B348" s="108"/>
      <c r="C348" s="108"/>
      <c r="D348" s="108"/>
      <c r="E348" s="108"/>
      <c r="F348" s="108"/>
      <c r="G348" s="108"/>
    </row>
    <row r="349" spans="1:7" s="87" customFormat="1">
      <c r="A349" s="108"/>
      <c r="B349" s="108"/>
      <c r="C349" s="108"/>
      <c r="D349" s="108"/>
      <c r="E349" s="108"/>
      <c r="F349" s="108"/>
      <c r="G349" s="108"/>
    </row>
    <row r="350" spans="1:7" s="87" customFormat="1">
      <c r="A350" s="108"/>
      <c r="B350" s="108"/>
      <c r="C350" s="108"/>
      <c r="D350" s="108"/>
      <c r="E350" s="108"/>
      <c r="F350" s="108"/>
      <c r="G350" s="108"/>
    </row>
    <row r="351" spans="1:7" s="87" customFormat="1">
      <c r="A351" s="108"/>
      <c r="B351" s="108"/>
      <c r="C351" s="108"/>
      <c r="D351" s="108"/>
      <c r="E351" s="108"/>
      <c r="F351" s="108"/>
      <c r="G351" s="108"/>
    </row>
    <row r="352" spans="1:7" s="87" customFormat="1">
      <c r="A352" s="108"/>
      <c r="B352" s="108"/>
      <c r="C352" s="108"/>
      <c r="D352" s="108"/>
      <c r="E352" s="108"/>
      <c r="F352" s="108"/>
      <c r="G352" s="108"/>
    </row>
    <row r="353" spans="1:7" s="87" customFormat="1">
      <c r="A353" s="108"/>
      <c r="B353" s="108"/>
      <c r="C353" s="108"/>
      <c r="D353" s="108"/>
      <c r="E353" s="108"/>
      <c r="F353" s="108"/>
      <c r="G353" s="108"/>
    </row>
    <row r="354" spans="1:7" s="87" customFormat="1">
      <c r="A354" s="108"/>
      <c r="B354" s="108"/>
      <c r="C354" s="108"/>
      <c r="D354" s="108"/>
      <c r="E354" s="108"/>
      <c r="F354" s="108"/>
      <c r="G354" s="108"/>
    </row>
    <row r="355" spans="1:7" s="87" customFormat="1">
      <c r="A355" s="108"/>
      <c r="B355" s="108"/>
      <c r="C355" s="108"/>
      <c r="D355" s="108"/>
      <c r="E355" s="108"/>
      <c r="F355" s="108"/>
      <c r="G355" s="108"/>
    </row>
    <row r="356" spans="1:7" s="87" customFormat="1">
      <c r="A356" s="108"/>
      <c r="B356" s="108"/>
      <c r="C356" s="108"/>
      <c r="D356" s="108"/>
      <c r="E356" s="108"/>
      <c r="F356" s="108"/>
      <c r="G356" s="108"/>
    </row>
    <row r="357" spans="1:7" s="87" customFormat="1">
      <c r="A357" s="108"/>
      <c r="B357" s="108"/>
      <c r="C357" s="108"/>
      <c r="D357" s="108"/>
      <c r="E357" s="108"/>
      <c r="F357" s="108"/>
      <c r="G357" s="108"/>
    </row>
    <row r="358" spans="1:7" s="87" customFormat="1">
      <c r="A358" s="108"/>
      <c r="B358" s="108"/>
      <c r="C358" s="108"/>
      <c r="D358" s="108"/>
      <c r="E358" s="108"/>
      <c r="F358" s="108"/>
      <c r="G358" s="108"/>
    </row>
    <row r="359" spans="1:7" s="87" customFormat="1">
      <c r="A359" s="108"/>
      <c r="B359" s="108"/>
      <c r="C359" s="108"/>
      <c r="D359" s="108"/>
      <c r="E359" s="108"/>
      <c r="F359" s="108"/>
      <c r="G359" s="108"/>
    </row>
    <row r="360" spans="1:7" s="87" customFormat="1">
      <c r="A360" s="108"/>
      <c r="B360" s="108"/>
      <c r="C360" s="108"/>
      <c r="D360" s="108"/>
      <c r="E360" s="108"/>
      <c r="F360" s="108"/>
      <c r="G360" s="108"/>
    </row>
    <row r="361" spans="1:7" s="87" customFormat="1">
      <c r="A361" s="108"/>
      <c r="B361" s="108"/>
      <c r="C361" s="108"/>
      <c r="D361" s="108"/>
      <c r="E361" s="108"/>
      <c r="F361" s="108"/>
      <c r="G361" s="108"/>
    </row>
    <row r="362" spans="1:7" s="87" customFormat="1">
      <c r="A362" s="108"/>
      <c r="B362" s="108"/>
      <c r="C362" s="108"/>
      <c r="D362" s="108"/>
      <c r="E362" s="108"/>
      <c r="F362" s="108"/>
      <c r="G362" s="108"/>
    </row>
    <row r="363" spans="1:7" s="87" customFormat="1">
      <c r="A363" s="108"/>
      <c r="B363" s="108"/>
      <c r="C363" s="108"/>
      <c r="D363" s="108"/>
      <c r="E363" s="108"/>
      <c r="F363" s="108"/>
      <c r="G363" s="108"/>
    </row>
    <row r="364" spans="1:7" s="87" customFormat="1">
      <c r="A364" s="108"/>
      <c r="B364" s="108"/>
      <c r="C364" s="108"/>
      <c r="D364" s="108"/>
      <c r="E364" s="108"/>
      <c r="F364" s="108"/>
      <c r="G364" s="108"/>
    </row>
    <row r="365" spans="1:7" s="87" customFormat="1">
      <c r="A365" s="108"/>
      <c r="B365" s="108"/>
      <c r="C365" s="108"/>
      <c r="D365" s="108"/>
      <c r="E365" s="108"/>
      <c r="F365" s="108"/>
      <c r="G365" s="108"/>
    </row>
    <row r="366" spans="1:7" s="87" customFormat="1">
      <c r="A366" s="108"/>
      <c r="B366" s="108"/>
      <c r="C366" s="108"/>
      <c r="D366" s="108"/>
      <c r="E366" s="108"/>
      <c r="F366" s="108"/>
      <c r="G366" s="108"/>
    </row>
    <row r="367" spans="1:7" s="87" customFormat="1">
      <c r="A367" s="108"/>
      <c r="B367" s="108"/>
      <c r="C367" s="108"/>
      <c r="D367" s="108"/>
      <c r="E367" s="108"/>
      <c r="F367" s="108"/>
      <c r="G367" s="108"/>
    </row>
    <row r="368" spans="1:7" s="87" customFormat="1">
      <c r="A368" s="108"/>
      <c r="B368" s="108"/>
      <c r="C368" s="108"/>
      <c r="D368" s="108"/>
      <c r="E368" s="108"/>
      <c r="F368" s="108"/>
      <c r="G368" s="108"/>
    </row>
    <row r="369" spans="1:7" s="87" customFormat="1">
      <c r="A369" s="108"/>
      <c r="B369" s="108"/>
      <c r="C369" s="108"/>
      <c r="D369" s="108"/>
      <c r="E369" s="108"/>
      <c r="F369" s="108"/>
      <c r="G369" s="108"/>
    </row>
    <row r="370" spans="1:7" s="87" customFormat="1">
      <c r="A370" s="108"/>
      <c r="B370" s="108"/>
      <c r="C370" s="108"/>
      <c r="D370" s="108"/>
      <c r="E370" s="108"/>
      <c r="F370" s="108"/>
      <c r="G370" s="108"/>
    </row>
    <row r="371" spans="1:7" s="87" customFormat="1">
      <c r="A371" s="108"/>
      <c r="B371" s="108"/>
      <c r="C371" s="108"/>
      <c r="D371" s="108"/>
      <c r="E371" s="108"/>
      <c r="F371" s="108"/>
      <c r="G371" s="108"/>
    </row>
    <row r="372" spans="1:7" s="87" customFormat="1">
      <c r="A372" s="108"/>
      <c r="B372" s="108"/>
      <c r="C372" s="108"/>
      <c r="D372" s="108"/>
      <c r="E372" s="108"/>
      <c r="F372" s="108"/>
      <c r="G372" s="108"/>
    </row>
    <row r="373" spans="1:7" s="87" customFormat="1">
      <c r="A373" s="108"/>
      <c r="B373" s="108"/>
      <c r="C373" s="108"/>
      <c r="D373" s="108"/>
      <c r="E373" s="108"/>
      <c r="F373" s="108"/>
      <c r="G373" s="108"/>
    </row>
    <row r="374" spans="1:7" s="87" customFormat="1">
      <c r="A374" s="108"/>
      <c r="B374" s="108"/>
      <c r="C374" s="108"/>
      <c r="D374" s="108"/>
      <c r="E374" s="108"/>
      <c r="F374" s="108"/>
      <c r="G374" s="108"/>
    </row>
    <row r="375" spans="1:7" s="87" customFormat="1">
      <c r="A375" s="108"/>
      <c r="B375" s="108"/>
      <c r="C375" s="108"/>
      <c r="D375" s="108"/>
      <c r="E375" s="108"/>
      <c r="F375" s="108"/>
      <c r="G375" s="108"/>
    </row>
    <row r="376" spans="1:7" s="87" customFormat="1">
      <c r="A376" s="108"/>
      <c r="B376" s="108"/>
      <c r="C376" s="108"/>
      <c r="D376" s="108"/>
      <c r="E376" s="108"/>
      <c r="F376" s="108"/>
      <c r="G376" s="108"/>
    </row>
    <row r="377" spans="1:7" s="87" customFormat="1">
      <c r="A377" s="108"/>
      <c r="B377" s="108"/>
      <c r="C377" s="108"/>
      <c r="D377" s="108"/>
      <c r="E377" s="108"/>
      <c r="F377" s="108"/>
      <c r="G377" s="108"/>
    </row>
    <row r="378" spans="1:7" s="87" customFormat="1">
      <c r="A378" s="108"/>
      <c r="B378" s="108"/>
      <c r="C378" s="108"/>
      <c r="D378" s="108"/>
      <c r="E378" s="108"/>
      <c r="F378" s="108"/>
      <c r="G378" s="108"/>
    </row>
    <row r="379" spans="1:7" s="87" customFormat="1">
      <c r="A379" s="108"/>
      <c r="B379" s="108"/>
      <c r="C379" s="108"/>
      <c r="D379" s="108"/>
      <c r="E379" s="108"/>
      <c r="F379" s="108"/>
      <c r="G379" s="108"/>
    </row>
    <row r="380" spans="1:7" s="87" customFormat="1">
      <c r="A380" s="108"/>
      <c r="B380" s="108"/>
      <c r="C380" s="108"/>
      <c r="D380" s="108"/>
      <c r="E380" s="108"/>
      <c r="F380" s="108"/>
      <c r="G380" s="108"/>
    </row>
    <row r="381" spans="1:7" s="87" customFormat="1">
      <c r="A381" s="108"/>
      <c r="B381" s="108"/>
      <c r="C381" s="108"/>
      <c r="D381" s="108"/>
      <c r="E381" s="108"/>
      <c r="F381" s="108"/>
      <c r="G381" s="108"/>
    </row>
    <row r="382" spans="1:7" s="87" customFormat="1">
      <c r="A382" s="108"/>
      <c r="B382" s="108"/>
      <c r="C382" s="108"/>
      <c r="D382" s="108"/>
      <c r="E382" s="108"/>
      <c r="F382" s="108"/>
      <c r="G382" s="108"/>
    </row>
    <row r="383" spans="1:7" s="87" customFormat="1">
      <c r="A383" s="108"/>
      <c r="B383" s="108"/>
      <c r="C383" s="108"/>
      <c r="D383" s="108"/>
      <c r="E383" s="108"/>
      <c r="F383" s="108"/>
      <c r="G383" s="108"/>
    </row>
    <row r="384" spans="1:7" s="87" customFormat="1">
      <c r="A384" s="108"/>
      <c r="B384" s="108"/>
      <c r="C384" s="108"/>
      <c r="D384" s="108"/>
      <c r="E384" s="108"/>
      <c r="F384" s="108"/>
      <c r="G384" s="108"/>
    </row>
    <row r="385" spans="1:7" s="87" customFormat="1">
      <c r="A385" s="108"/>
      <c r="B385" s="108"/>
      <c r="C385" s="108"/>
      <c r="D385" s="108"/>
      <c r="E385" s="108"/>
      <c r="F385" s="108"/>
      <c r="G385" s="108"/>
    </row>
    <row r="386" spans="1:7" s="87" customFormat="1">
      <c r="A386" s="108"/>
      <c r="B386" s="108"/>
      <c r="C386" s="108"/>
      <c r="D386" s="108"/>
      <c r="E386" s="108"/>
      <c r="F386" s="108"/>
      <c r="G386" s="108"/>
    </row>
    <row r="387" spans="1:7" s="87" customFormat="1">
      <c r="A387" s="108"/>
      <c r="B387" s="108"/>
      <c r="C387" s="108"/>
      <c r="D387" s="108"/>
      <c r="E387" s="108"/>
      <c r="F387" s="108"/>
      <c r="G387" s="108"/>
    </row>
    <row r="388" spans="1:7" s="87" customFormat="1">
      <c r="A388" s="108"/>
      <c r="B388" s="108"/>
      <c r="C388" s="108"/>
      <c r="D388" s="108"/>
      <c r="E388" s="108"/>
      <c r="F388" s="108"/>
      <c r="G388" s="108"/>
    </row>
    <row r="389" spans="1:7" s="87" customFormat="1">
      <c r="A389" s="108"/>
      <c r="B389" s="108"/>
      <c r="C389" s="108"/>
      <c r="D389" s="108"/>
      <c r="E389" s="108"/>
      <c r="F389" s="108"/>
      <c r="G389" s="108"/>
    </row>
    <row r="390" spans="1:7" s="87" customFormat="1">
      <c r="A390" s="108"/>
      <c r="B390" s="108"/>
      <c r="C390" s="108"/>
      <c r="D390" s="108"/>
      <c r="E390" s="108"/>
      <c r="F390" s="108"/>
      <c r="G390" s="108"/>
    </row>
    <row r="391" spans="1:7" s="87" customFormat="1">
      <c r="A391" s="108"/>
      <c r="B391" s="108"/>
      <c r="C391" s="108"/>
      <c r="D391" s="108"/>
      <c r="E391" s="108"/>
      <c r="F391" s="108"/>
      <c r="G391" s="108"/>
    </row>
    <row r="392" spans="1:7" s="87" customFormat="1">
      <c r="A392" s="108"/>
      <c r="B392" s="108"/>
      <c r="C392" s="108"/>
      <c r="D392" s="108"/>
      <c r="E392" s="108"/>
      <c r="F392" s="108"/>
      <c r="G392" s="108"/>
    </row>
    <row r="393" spans="1:7" s="87" customFormat="1">
      <c r="A393" s="108"/>
      <c r="B393" s="108"/>
      <c r="C393" s="108"/>
      <c r="D393" s="108"/>
      <c r="E393" s="108"/>
      <c r="F393" s="108"/>
      <c r="G393" s="108"/>
    </row>
    <row r="394" spans="1:7" s="87" customFormat="1">
      <c r="A394" s="108"/>
      <c r="B394" s="108"/>
      <c r="C394" s="108"/>
      <c r="D394" s="108"/>
      <c r="E394" s="108"/>
      <c r="F394" s="108"/>
      <c r="G394" s="108"/>
    </row>
    <row r="395" spans="1:7" s="87" customFormat="1">
      <c r="A395" s="108"/>
      <c r="B395" s="108"/>
      <c r="C395" s="108"/>
      <c r="D395" s="108"/>
      <c r="E395" s="108"/>
      <c r="F395" s="108"/>
      <c r="G395" s="108"/>
    </row>
    <row r="396" spans="1:7" s="87" customFormat="1">
      <c r="A396" s="108"/>
      <c r="B396" s="108"/>
      <c r="C396" s="108"/>
      <c r="D396" s="108"/>
      <c r="E396" s="108"/>
      <c r="F396" s="108"/>
      <c r="G396" s="108"/>
    </row>
    <row r="397" spans="1:7" s="87" customFormat="1">
      <c r="A397" s="108"/>
      <c r="B397" s="108"/>
      <c r="C397" s="108"/>
      <c r="D397" s="108"/>
      <c r="E397" s="108"/>
      <c r="F397" s="108"/>
      <c r="G397" s="108"/>
    </row>
    <row r="398" spans="1:7" s="87" customFormat="1">
      <c r="A398" s="108"/>
      <c r="B398" s="108"/>
      <c r="C398" s="108"/>
      <c r="D398" s="108"/>
      <c r="E398" s="108"/>
      <c r="F398" s="108"/>
      <c r="G398" s="108"/>
    </row>
    <row r="399" spans="1:7" s="87" customFormat="1">
      <c r="A399" s="108"/>
      <c r="B399" s="108"/>
      <c r="C399" s="108"/>
      <c r="D399" s="108"/>
      <c r="E399" s="108"/>
      <c r="F399" s="108"/>
      <c r="G399" s="108"/>
    </row>
    <row r="400" spans="1:7" s="87" customFormat="1">
      <c r="A400" s="108"/>
      <c r="B400" s="108"/>
      <c r="C400" s="108"/>
      <c r="D400" s="108"/>
      <c r="E400" s="108"/>
      <c r="F400" s="108"/>
      <c r="G400" s="108"/>
    </row>
    <row r="401" spans="1:7" s="87" customFormat="1">
      <c r="A401" s="108"/>
      <c r="B401" s="108"/>
      <c r="C401" s="108"/>
      <c r="D401" s="108"/>
      <c r="E401" s="108"/>
      <c r="F401" s="108"/>
      <c r="G401" s="108"/>
    </row>
    <row r="402" spans="1:7" s="87" customFormat="1">
      <c r="A402" s="108"/>
      <c r="B402" s="108"/>
      <c r="C402" s="108"/>
      <c r="D402" s="108"/>
      <c r="E402" s="108"/>
      <c r="F402" s="108"/>
      <c r="G402" s="108"/>
    </row>
    <row r="403" spans="1:7" s="87" customFormat="1">
      <c r="A403" s="108"/>
      <c r="B403" s="108"/>
      <c r="C403" s="108"/>
      <c r="D403" s="108"/>
      <c r="E403" s="108"/>
      <c r="F403" s="108"/>
      <c r="G403" s="108"/>
    </row>
    <row r="404" spans="1:7" s="87" customFormat="1">
      <c r="A404" s="108"/>
      <c r="B404" s="108"/>
      <c r="C404" s="108"/>
      <c r="D404" s="108"/>
      <c r="E404" s="108"/>
      <c r="F404" s="108"/>
      <c r="G404" s="108"/>
    </row>
    <row r="405" spans="1:7" s="87" customFormat="1">
      <c r="A405" s="108"/>
      <c r="B405" s="108"/>
      <c r="C405" s="108"/>
      <c r="D405" s="108"/>
      <c r="E405" s="108"/>
      <c r="F405" s="108"/>
      <c r="G405" s="108"/>
    </row>
    <row r="406" spans="1:7" s="87" customFormat="1">
      <c r="A406" s="108"/>
      <c r="B406" s="108"/>
      <c r="C406" s="108"/>
      <c r="D406" s="108"/>
      <c r="E406" s="108"/>
      <c r="F406" s="108"/>
      <c r="G406" s="108"/>
    </row>
    <row r="407" spans="1:7" s="87" customFormat="1">
      <c r="A407" s="108"/>
      <c r="B407" s="108"/>
      <c r="C407" s="108"/>
      <c r="D407" s="108"/>
      <c r="E407" s="108"/>
      <c r="F407" s="108"/>
      <c r="G407" s="108"/>
    </row>
    <row r="408" spans="1:7" s="87" customFormat="1">
      <c r="A408" s="108"/>
      <c r="B408" s="108"/>
      <c r="C408" s="108"/>
      <c r="D408" s="108"/>
      <c r="E408" s="108"/>
      <c r="F408" s="108"/>
      <c r="G408" s="108"/>
    </row>
    <row r="409" spans="1:7" s="87" customFormat="1">
      <c r="A409" s="108"/>
      <c r="B409" s="108"/>
      <c r="C409" s="108"/>
      <c r="D409" s="108"/>
      <c r="E409" s="108"/>
      <c r="F409" s="108"/>
      <c r="G409" s="108"/>
    </row>
    <row r="410" spans="1:7" s="87" customFormat="1">
      <c r="A410" s="108"/>
      <c r="B410" s="108"/>
      <c r="C410" s="108"/>
      <c r="D410" s="108"/>
      <c r="E410" s="108"/>
      <c r="F410" s="108"/>
      <c r="G410" s="108"/>
    </row>
    <row r="411" spans="1:7" s="87" customFormat="1">
      <c r="A411" s="108"/>
      <c r="B411" s="108"/>
      <c r="C411" s="108"/>
      <c r="D411" s="108"/>
      <c r="E411" s="108"/>
      <c r="F411" s="108"/>
      <c r="G411" s="108"/>
    </row>
    <row r="412" spans="1:7" s="87" customFormat="1">
      <c r="A412" s="108"/>
      <c r="B412" s="108"/>
      <c r="C412" s="108"/>
      <c r="D412" s="108"/>
      <c r="E412" s="108"/>
      <c r="F412" s="108"/>
      <c r="G412" s="108"/>
    </row>
    <row r="413" spans="1:7" s="87" customFormat="1">
      <c r="A413" s="108"/>
      <c r="B413" s="108"/>
      <c r="C413" s="108"/>
      <c r="D413" s="108"/>
      <c r="E413" s="108"/>
      <c r="F413" s="108"/>
      <c r="G413" s="108"/>
    </row>
    <row r="414" spans="1:7" s="87" customFormat="1">
      <c r="A414" s="108"/>
      <c r="B414" s="108"/>
      <c r="C414" s="108"/>
      <c r="D414" s="108"/>
      <c r="E414" s="108"/>
      <c r="F414" s="108"/>
      <c r="G414" s="108"/>
    </row>
    <row r="415" spans="1:7" s="87" customFormat="1">
      <c r="A415" s="108"/>
      <c r="B415" s="108"/>
      <c r="C415" s="108"/>
      <c r="D415" s="108"/>
      <c r="E415" s="108"/>
      <c r="F415" s="108"/>
      <c r="G415" s="108"/>
    </row>
    <row r="416" spans="1:7" s="87" customFormat="1">
      <c r="A416" s="108"/>
      <c r="B416" s="108"/>
      <c r="C416" s="108"/>
      <c r="D416" s="108"/>
      <c r="E416" s="108"/>
      <c r="F416" s="108"/>
      <c r="G416" s="108"/>
    </row>
    <row r="417" spans="1:7" s="87" customFormat="1">
      <c r="A417" s="108"/>
      <c r="B417" s="108"/>
      <c r="C417" s="108"/>
      <c r="D417" s="108"/>
      <c r="E417" s="108"/>
      <c r="F417" s="108"/>
      <c r="G417" s="108"/>
    </row>
    <row r="418" spans="1:7" s="87" customFormat="1">
      <c r="A418" s="108"/>
      <c r="B418" s="108"/>
      <c r="C418" s="108"/>
      <c r="D418" s="108"/>
      <c r="E418" s="108"/>
      <c r="F418" s="108"/>
      <c r="G418" s="108"/>
    </row>
    <row r="419" spans="1:7" s="87" customFormat="1">
      <c r="A419" s="108"/>
      <c r="B419" s="108"/>
      <c r="C419" s="108"/>
      <c r="D419" s="108"/>
      <c r="E419" s="108"/>
      <c r="F419" s="108"/>
      <c r="G419" s="108"/>
    </row>
    <row r="420" spans="1:7" s="87" customFormat="1">
      <c r="A420" s="108"/>
      <c r="B420" s="108"/>
      <c r="C420" s="108"/>
      <c r="D420" s="108"/>
      <c r="E420" s="108"/>
      <c r="F420" s="108"/>
      <c r="G420" s="108"/>
    </row>
    <row r="421" spans="1:7" s="87" customFormat="1">
      <c r="A421" s="108"/>
      <c r="B421" s="108"/>
      <c r="C421" s="108"/>
      <c r="D421" s="108"/>
      <c r="E421" s="108"/>
      <c r="F421" s="108"/>
      <c r="G421" s="108"/>
    </row>
    <row r="422" spans="1:7" s="87" customFormat="1">
      <c r="A422" s="108"/>
      <c r="B422" s="108"/>
      <c r="C422" s="108"/>
      <c r="D422" s="108"/>
      <c r="E422" s="108"/>
      <c r="F422" s="108"/>
      <c r="G422" s="108"/>
    </row>
    <row r="423" spans="1:7" s="87" customFormat="1">
      <c r="A423" s="108"/>
      <c r="B423" s="108"/>
      <c r="C423" s="108"/>
      <c r="D423" s="108"/>
      <c r="E423" s="108"/>
      <c r="F423" s="108"/>
      <c r="G423" s="108"/>
    </row>
    <row r="424" spans="1:7" s="87" customFormat="1">
      <c r="A424" s="108"/>
      <c r="B424" s="108"/>
      <c r="C424" s="108"/>
      <c r="D424" s="108"/>
      <c r="E424" s="108"/>
      <c r="F424" s="108"/>
      <c r="G424" s="108"/>
    </row>
    <row r="425" spans="1:7" s="87" customFormat="1">
      <c r="A425" s="108"/>
      <c r="B425" s="108"/>
      <c r="C425" s="108"/>
      <c r="D425" s="108"/>
      <c r="E425" s="108"/>
      <c r="F425" s="108"/>
      <c r="G425" s="108"/>
    </row>
    <row r="426" spans="1:7" s="87" customFormat="1">
      <c r="A426" s="108"/>
      <c r="B426" s="108"/>
      <c r="C426" s="108"/>
      <c r="D426" s="108"/>
      <c r="E426" s="108"/>
      <c r="F426" s="108"/>
      <c r="G426" s="108"/>
    </row>
    <row r="427" spans="1:7" s="87" customFormat="1">
      <c r="A427" s="108"/>
      <c r="B427" s="108"/>
      <c r="C427" s="108"/>
      <c r="D427" s="108"/>
      <c r="E427" s="108"/>
      <c r="F427" s="108"/>
      <c r="G427" s="108"/>
    </row>
    <row r="428" spans="1:7" s="87" customFormat="1">
      <c r="A428" s="108"/>
      <c r="B428" s="108"/>
      <c r="C428" s="108"/>
      <c r="D428" s="108"/>
      <c r="E428" s="108"/>
      <c r="F428" s="108"/>
      <c r="G428" s="108"/>
    </row>
    <row r="429" spans="1:7" s="87" customFormat="1">
      <c r="A429" s="108"/>
      <c r="B429" s="108"/>
      <c r="C429" s="108"/>
      <c r="D429" s="108"/>
      <c r="E429" s="108"/>
      <c r="F429" s="108"/>
      <c r="G429" s="108"/>
    </row>
    <row r="430" spans="1:7" s="87" customFormat="1">
      <c r="A430" s="108"/>
      <c r="B430" s="108"/>
      <c r="C430" s="108"/>
      <c r="D430" s="108"/>
      <c r="E430" s="108"/>
      <c r="F430" s="108"/>
      <c r="G430" s="108"/>
    </row>
    <row r="431" spans="1:7" s="87" customFormat="1">
      <c r="A431" s="108"/>
      <c r="B431" s="108"/>
      <c r="C431" s="108"/>
      <c r="D431" s="108"/>
      <c r="E431" s="108"/>
      <c r="F431" s="108"/>
      <c r="G431" s="108"/>
    </row>
    <row r="432" spans="1:7" s="87" customFormat="1">
      <c r="A432" s="108"/>
      <c r="B432" s="108"/>
      <c r="C432" s="108"/>
      <c r="D432" s="108"/>
      <c r="E432" s="108"/>
      <c r="F432" s="108"/>
      <c r="G432" s="108"/>
    </row>
    <row r="433" spans="1:7" s="87" customFormat="1">
      <c r="A433" s="108"/>
      <c r="B433" s="108"/>
      <c r="C433" s="108"/>
      <c r="D433" s="108"/>
      <c r="E433" s="108"/>
      <c r="F433" s="108"/>
      <c r="G433" s="108"/>
    </row>
    <row r="434" spans="1:7" s="87" customFormat="1">
      <c r="A434" s="108"/>
      <c r="B434" s="108"/>
      <c r="C434" s="108"/>
      <c r="D434" s="108"/>
      <c r="E434" s="108"/>
      <c r="F434" s="108"/>
      <c r="G434" s="108"/>
    </row>
    <row r="435" spans="1:7" s="87" customFormat="1">
      <c r="A435" s="108"/>
      <c r="B435" s="108"/>
      <c r="C435" s="108"/>
      <c r="D435" s="108"/>
      <c r="E435" s="108"/>
      <c r="F435" s="108"/>
      <c r="G435" s="108"/>
    </row>
    <row r="436" spans="1:7" s="87" customFormat="1">
      <c r="A436" s="108"/>
      <c r="B436" s="108"/>
      <c r="C436" s="108"/>
      <c r="D436" s="108"/>
      <c r="E436" s="108"/>
      <c r="F436" s="108"/>
      <c r="G436" s="108"/>
    </row>
    <row r="437" spans="1:7" s="87" customFormat="1">
      <c r="A437" s="108"/>
      <c r="B437" s="108"/>
      <c r="C437" s="108"/>
      <c r="D437" s="108"/>
      <c r="E437" s="108"/>
      <c r="F437" s="108"/>
      <c r="G437" s="108"/>
    </row>
    <row r="438" spans="1:7" s="87" customFormat="1">
      <c r="A438" s="108"/>
      <c r="B438" s="108"/>
      <c r="C438" s="108"/>
      <c r="D438" s="108"/>
      <c r="E438" s="108"/>
      <c r="F438" s="108"/>
      <c r="G438" s="108"/>
    </row>
    <row r="439" spans="1:7" s="87" customFormat="1">
      <c r="A439" s="108"/>
      <c r="B439" s="108"/>
      <c r="C439" s="108"/>
      <c r="D439" s="108"/>
      <c r="E439" s="108"/>
      <c r="F439" s="108"/>
      <c r="G439" s="108"/>
    </row>
    <row r="440" spans="1:7" s="87" customFormat="1">
      <c r="A440" s="108"/>
      <c r="B440" s="108"/>
      <c r="C440" s="108"/>
      <c r="D440" s="108"/>
      <c r="E440" s="108"/>
      <c r="F440" s="108"/>
      <c r="G440" s="108"/>
    </row>
    <row r="441" spans="1:7" s="87" customFormat="1">
      <c r="A441" s="108"/>
      <c r="B441" s="108"/>
      <c r="C441" s="108"/>
      <c r="D441" s="108"/>
      <c r="E441" s="108"/>
      <c r="F441" s="108"/>
      <c r="G441" s="108"/>
    </row>
    <row r="442" spans="1:7" s="87" customFormat="1">
      <c r="A442" s="108"/>
      <c r="B442" s="108"/>
      <c r="C442" s="108"/>
      <c r="D442" s="108"/>
      <c r="E442" s="108"/>
      <c r="F442" s="108"/>
      <c r="G442" s="108"/>
    </row>
    <row r="443" spans="1:7" s="87" customFormat="1">
      <c r="A443" s="108"/>
      <c r="B443" s="108"/>
      <c r="C443" s="108"/>
      <c r="D443" s="108"/>
      <c r="E443" s="108"/>
      <c r="F443" s="108"/>
      <c r="G443" s="108"/>
    </row>
    <row r="444" spans="1:7" s="87" customFormat="1">
      <c r="A444" s="108"/>
      <c r="B444" s="108"/>
      <c r="C444" s="108"/>
      <c r="D444" s="108"/>
      <c r="E444" s="108"/>
      <c r="F444" s="108"/>
      <c r="G444" s="108"/>
    </row>
    <row r="445" spans="1:7" s="87" customFormat="1">
      <c r="A445" s="108"/>
      <c r="B445" s="108"/>
      <c r="C445" s="108"/>
      <c r="D445" s="108"/>
      <c r="E445" s="108"/>
      <c r="F445" s="108"/>
      <c r="G445" s="108"/>
    </row>
    <row r="446" spans="1:7" s="87" customFormat="1">
      <c r="A446" s="108"/>
      <c r="B446" s="108"/>
      <c r="C446" s="108"/>
      <c r="D446" s="108"/>
      <c r="E446" s="108"/>
      <c r="F446" s="108"/>
      <c r="G446" s="108"/>
    </row>
    <row r="447" spans="1:7" s="87" customFormat="1">
      <c r="A447" s="108"/>
      <c r="B447" s="108"/>
      <c r="C447" s="108"/>
      <c r="D447" s="108"/>
      <c r="E447" s="108"/>
      <c r="F447" s="108"/>
      <c r="G447" s="108"/>
    </row>
    <row r="448" spans="1:7" s="87" customFormat="1">
      <c r="A448" s="108"/>
      <c r="B448" s="108"/>
      <c r="C448" s="108"/>
      <c r="D448" s="108"/>
      <c r="E448" s="108"/>
      <c r="F448" s="108"/>
      <c r="G448" s="108"/>
    </row>
    <row r="449" spans="1:7" s="87" customFormat="1">
      <c r="A449" s="108"/>
      <c r="B449" s="108"/>
      <c r="C449" s="108"/>
      <c r="D449" s="108"/>
      <c r="E449" s="108"/>
      <c r="F449" s="108"/>
      <c r="G449" s="108"/>
    </row>
    <row r="450" spans="1:7" s="87" customFormat="1">
      <c r="A450" s="108"/>
      <c r="B450" s="108"/>
      <c r="C450" s="108"/>
      <c r="D450" s="108"/>
      <c r="E450" s="108"/>
      <c r="F450" s="108"/>
      <c r="G450" s="108"/>
    </row>
    <row r="451" spans="1:7" s="87" customFormat="1">
      <c r="A451" s="108"/>
      <c r="B451" s="108"/>
      <c r="C451" s="108"/>
      <c r="D451" s="108"/>
      <c r="E451" s="108"/>
      <c r="F451" s="108"/>
      <c r="G451" s="108"/>
    </row>
    <row r="452" spans="1:7" s="87" customFormat="1">
      <c r="A452" s="108"/>
      <c r="B452" s="108"/>
      <c r="C452" s="108"/>
      <c r="D452" s="108"/>
      <c r="E452" s="108"/>
      <c r="F452" s="108"/>
      <c r="G452" s="108"/>
    </row>
    <row r="453" spans="1:7" s="87" customFormat="1">
      <c r="A453" s="108"/>
      <c r="B453" s="108"/>
      <c r="C453" s="108"/>
      <c r="D453" s="108"/>
      <c r="E453" s="108"/>
      <c r="F453" s="108"/>
      <c r="G453" s="108"/>
    </row>
    <row r="454" spans="1:7" s="87" customFormat="1">
      <c r="A454" s="108"/>
      <c r="B454" s="108"/>
      <c r="C454" s="108"/>
      <c r="D454" s="108"/>
      <c r="E454" s="108"/>
      <c r="F454" s="108"/>
      <c r="G454" s="108"/>
    </row>
    <row r="455" spans="1:7" s="87" customFormat="1">
      <c r="A455" s="108"/>
      <c r="B455" s="108"/>
      <c r="C455" s="108"/>
      <c r="D455" s="108"/>
      <c r="E455" s="108"/>
      <c r="F455" s="108"/>
      <c r="G455" s="108"/>
    </row>
    <row r="456" spans="1:7" s="87" customFormat="1">
      <c r="A456" s="108"/>
      <c r="B456" s="108"/>
      <c r="C456" s="108"/>
      <c r="D456" s="108"/>
      <c r="E456" s="108"/>
      <c r="F456" s="108"/>
      <c r="G456" s="108"/>
    </row>
    <row r="457" spans="1:7" s="87" customFormat="1">
      <c r="A457" s="108"/>
      <c r="B457" s="108"/>
      <c r="C457" s="108"/>
      <c r="D457" s="108"/>
      <c r="E457" s="108"/>
      <c r="F457" s="108"/>
      <c r="G457" s="108"/>
    </row>
    <row r="458" spans="1:7" s="87" customFormat="1">
      <c r="A458" s="108"/>
      <c r="B458" s="108"/>
      <c r="C458" s="108"/>
      <c r="D458" s="108"/>
      <c r="E458" s="108"/>
      <c r="F458" s="108"/>
      <c r="G458" s="108"/>
    </row>
    <row r="459" spans="1:7" s="87" customFormat="1">
      <c r="A459" s="108"/>
      <c r="B459" s="108"/>
      <c r="C459" s="108"/>
      <c r="D459" s="108"/>
      <c r="E459" s="108"/>
      <c r="F459" s="108"/>
      <c r="G459" s="108"/>
    </row>
    <row r="460" spans="1:7" s="87" customFormat="1">
      <c r="A460" s="108"/>
      <c r="B460" s="108"/>
      <c r="C460" s="108"/>
      <c r="D460" s="108"/>
      <c r="E460" s="108"/>
      <c r="F460" s="108"/>
      <c r="G460" s="108"/>
    </row>
    <row r="461" spans="1:7" s="87" customFormat="1">
      <c r="A461" s="108"/>
      <c r="B461" s="108"/>
      <c r="C461" s="108"/>
      <c r="D461" s="108"/>
      <c r="E461" s="108"/>
      <c r="F461" s="108"/>
      <c r="G461" s="108"/>
    </row>
    <row r="462" spans="1:7" s="87" customFormat="1">
      <c r="A462" s="108"/>
      <c r="B462" s="108"/>
      <c r="C462" s="108"/>
      <c r="D462" s="108"/>
      <c r="E462" s="108"/>
      <c r="F462" s="108"/>
      <c r="G462" s="108"/>
    </row>
    <row r="463" spans="1:7" s="87" customFormat="1">
      <c r="A463" s="108"/>
      <c r="B463" s="108"/>
      <c r="C463" s="108"/>
      <c r="D463" s="108"/>
      <c r="E463" s="108"/>
      <c r="F463" s="108"/>
      <c r="G463" s="108"/>
    </row>
    <row r="464" spans="1:7" s="87" customFormat="1">
      <c r="A464" s="108"/>
      <c r="B464" s="108"/>
      <c r="C464" s="108"/>
      <c r="D464" s="108"/>
      <c r="E464" s="108"/>
      <c r="F464" s="108"/>
      <c r="G464" s="108"/>
    </row>
    <row r="465" spans="1:7" s="87" customFormat="1">
      <c r="A465" s="108"/>
      <c r="B465" s="108"/>
      <c r="C465" s="108"/>
      <c r="D465" s="108"/>
      <c r="E465" s="108"/>
      <c r="F465" s="108"/>
      <c r="G465" s="108"/>
    </row>
    <row r="466" spans="1:7" s="87" customFormat="1">
      <c r="A466" s="108"/>
      <c r="B466" s="108"/>
      <c r="C466" s="108"/>
      <c r="D466" s="108"/>
      <c r="E466" s="108"/>
      <c r="F466" s="108"/>
      <c r="G466" s="108"/>
    </row>
    <row r="467" spans="1:7" s="87" customFormat="1">
      <c r="A467" s="108"/>
      <c r="B467" s="108"/>
      <c r="C467" s="108"/>
      <c r="D467" s="108"/>
      <c r="E467" s="108"/>
      <c r="F467" s="108"/>
      <c r="G467" s="108"/>
    </row>
    <row r="468" spans="1:7" s="87" customFormat="1">
      <c r="A468" s="108"/>
      <c r="B468" s="108"/>
      <c r="C468" s="108"/>
      <c r="D468" s="108"/>
      <c r="E468" s="108"/>
      <c r="F468" s="108"/>
      <c r="G468" s="108"/>
    </row>
    <row r="469" spans="1:7" s="87" customFormat="1">
      <c r="A469" s="108"/>
      <c r="B469" s="108"/>
      <c r="C469" s="108"/>
      <c r="D469" s="108"/>
      <c r="E469" s="108"/>
      <c r="F469" s="108"/>
      <c r="G469" s="108"/>
    </row>
    <row r="470" spans="1:7" s="87" customFormat="1">
      <c r="A470" s="108"/>
      <c r="B470" s="108"/>
      <c r="C470" s="108"/>
      <c r="D470" s="108"/>
      <c r="E470" s="108"/>
      <c r="F470" s="108"/>
      <c r="G470" s="108"/>
    </row>
    <row r="471" spans="1:7" s="87" customFormat="1">
      <c r="A471" s="108"/>
      <c r="B471" s="108"/>
      <c r="C471" s="108"/>
      <c r="D471" s="108"/>
      <c r="E471" s="108"/>
      <c r="F471" s="108"/>
      <c r="G471" s="108"/>
    </row>
    <row r="472" spans="1:7" s="87" customFormat="1">
      <c r="A472" s="108"/>
      <c r="B472" s="108"/>
      <c r="C472" s="108"/>
      <c r="D472" s="108"/>
      <c r="E472" s="108"/>
      <c r="F472" s="108"/>
      <c r="G472" s="108"/>
    </row>
    <row r="473" spans="1:7" s="87" customFormat="1">
      <c r="A473" s="108"/>
      <c r="B473" s="108"/>
      <c r="C473" s="108"/>
      <c r="D473" s="108"/>
      <c r="E473" s="108"/>
      <c r="F473" s="108"/>
      <c r="G473" s="108"/>
    </row>
    <row r="474" spans="1:7" s="87" customFormat="1">
      <c r="A474" s="108"/>
      <c r="B474" s="108"/>
      <c r="C474" s="108"/>
      <c r="D474" s="108"/>
      <c r="E474" s="108"/>
      <c r="F474" s="108"/>
      <c r="G474" s="108"/>
    </row>
    <row r="475" spans="1:7" s="87" customFormat="1">
      <c r="A475" s="108"/>
      <c r="B475" s="108"/>
      <c r="C475" s="108"/>
      <c r="D475" s="108"/>
      <c r="E475" s="108"/>
      <c r="F475" s="108"/>
      <c r="G475" s="108"/>
    </row>
    <row r="476" spans="1:7" s="87" customFormat="1">
      <c r="A476" s="108"/>
      <c r="B476" s="108"/>
      <c r="C476" s="108"/>
      <c r="D476" s="108"/>
      <c r="E476" s="108"/>
      <c r="F476" s="108"/>
      <c r="G476" s="108"/>
    </row>
    <row r="477" spans="1:7" s="87" customFormat="1">
      <c r="A477" s="108"/>
      <c r="B477" s="108"/>
      <c r="C477" s="108"/>
      <c r="D477" s="108"/>
      <c r="E477" s="108"/>
      <c r="F477" s="108"/>
      <c r="G477" s="108"/>
    </row>
    <row r="478" spans="1:7" s="87" customFormat="1">
      <c r="A478" s="108"/>
      <c r="B478" s="108"/>
      <c r="C478" s="108"/>
      <c r="D478" s="108"/>
      <c r="E478" s="108"/>
      <c r="F478" s="108"/>
      <c r="G478" s="108"/>
    </row>
    <row r="479" spans="1:7" s="87" customFormat="1">
      <c r="A479" s="108"/>
      <c r="B479" s="108"/>
      <c r="C479" s="108"/>
      <c r="D479" s="108"/>
      <c r="E479" s="108"/>
      <c r="F479" s="108"/>
      <c r="G479" s="108"/>
    </row>
    <row r="480" spans="1:7" s="87" customFormat="1">
      <c r="A480" s="108"/>
      <c r="B480" s="108"/>
      <c r="C480" s="108"/>
      <c r="D480" s="108"/>
      <c r="E480" s="108"/>
      <c r="F480" s="108"/>
      <c r="G480" s="108"/>
    </row>
    <row r="481" spans="1:7" s="87" customFormat="1">
      <c r="A481" s="108"/>
      <c r="B481" s="108"/>
      <c r="C481" s="108"/>
      <c r="D481" s="108"/>
      <c r="E481" s="108"/>
      <c r="F481" s="108"/>
      <c r="G481" s="108"/>
    </row>
    <row r="482" spans="1:7" s="87" customFormat="1">
      <c r="A482" s="108"/>
      <c r="B482" s="108"/>
      <c r="C482" s="108"/>
      <c r="D482" s="108"/>
      <c r="E482" s="108"/>
      <c r="F482" s="108"/>
      <c r="G482" s="108"/>
    </row>
    <row r="483" spans="1:7" s="87" customFormat="1">
      <c r="A483" s="108"/>
      <c r="B483" s="108"/>
      <c r="C483" s="108"/>
      <c r="D483" s="108"/>
      <c r="E483" s="108"/>
      <c r="F483" s="108"/>
      <c r="G483" s="108"/>
    </row>
    <row r="484" spans="1:7" s="87" customFormat="1">
      <c r="A484" s="108"/>
      <c r="B484" s="108"/>
      <c r="C484" s="108"/>
      <c r="D484" s="108"/>
      <c r="E484" s="108"/>
      <c r="F484" s="108"/>
      <c r="G484" s="108"/>
    </row>
    <row r="485" spans="1:7" s="87" customFormat="1">
      <c r="A485" s="108"/>
      <c r="B485" s="108"/>
      <c r="C485" s="108"/>
      <c r="D485" s="108"/>
      <c r="E485" s="108"/>
      <c r="F485" s="108"/>
      <c r="G485" s="108"/>
    </row>
    <row r="486" spans="1:7" s="87" customFormat="1">
      <c r="A486" s="108"/>
      <c r="B486" s="108"/>
      <c r="C486" s="108"/>
      <c r="D486" s="108"/>
      <c r="E486" s="108"/>
      <c r="F486" s="108"/>
      <c r="G486" s="108"/>
    </row>
    <row r="487" spans="1:7" s="87" customFormat="1">
      <c r="A487" s="108"/>
      <c r="B487" s="108"/>
      <c r="C487" s="108"/>
      <c r="D487" s="108"/>
      <c r="E487" s="108"/>
      <c r="F487" s="108"/>
      <c r="G487" s="108"/>
    </row>
    <row r="488" spans="1:7" s="87" customFormat="1">
      <c r="A488" s="108"/>
      <c r="B488" s="108"/>
      <c r="C488" s="108"/>
      <c r="D488" s="108"/>
      <c r="E488" s="108"/>
      <c r="F488" s="108"/>
      <c r="G488" s="108"/>
    </row>
    <row r="489" spans="1:7" s="87" customFormat="1">
      <c r="A489" s="108"/>
      <c r="B489" s="108"/>
      <c r="C489" s="108"/>
      <c r="D489" s="108"/>
      <c r="E489" s="108"/>
      <c r="F489" s="108"/>
      <c r="G489" s="108"/>
    </row>
    <row r="490" spans="1:7" s="87" customFormat="1">
      <c r="A490" s="108"/>
      <c r="B490" s="108"/>
      <c r="C490" s="108"/>
      <c r="D490" s="108"/>
      <c r="E490" s="108"/>
      <c r="F490" s="108"/>
      <c r="G490" s="108"/>
    </row>
    <row r="491" spans="1:7" s="87" customFormat="1">
      <c r="A491" s="108"/>
      <c r="B491" s="108"/>
      <c r="C491" s="108"/>
      <c r="D491" s="108"/>
      <c r="E491" s="108"/>
      <c r="F491" s="108"/>
      <c r="G491" s="108"/>
    </row>
    <row r="492" spans="1:7" s="87" customFormat="1">
      <c r="A492" s="108"/>
      <c r="B492" s="108"/>
      <c r="C492" s="108"/>
      <c r="D492" s="108"/>
      <c r="E492" s="108"/>
      <c r="F492" s="108"/>
      <c r="G492" s="108"/>
    </row>
    <row r="493" spans="1:7" s="87" customFormat="1">
      <c r="A493" s="108"/>
      <c r="B493" s="108"/>
      <c r="C493" s="108"/>
      <c r="D493" s="108"/>
      <c r="E493" s="108"/>
      <c r="F493" s="108"/>
      <c r="G493" s="108"/>
    </row>
    <row r="494" spans="1:7" s="87" customFormat="1">
      <c r="A494" s="108"/>
      <c r="B494" s="108"/>
      <c r="C494" s="108"/>
      <c r="D494" s="108"/>
      <c r="E494" s="108"/>
      <c r="F494" s="108"/>
      <c r="G494" s="108"/>
    </row>
    <row r="495" spans="1:7" s="87" customFormat="1">
      <c r="A495" s="108"/>
      <c r="B495" s="108"/>
      <c r="C495" s="108"/>
      <c r="D495" s="108"/>
      <c r="E495" s="108"/>
      <c r="F495" s="108"/>
      <c r="G495" s="108"/>
    </row>
    <row r="496" spans="1:7" s="87" customFormat="1">
      <c r="A496" s="108"/>
      <c r="B496" s="108"/>
      <c r="C496" s="108"/>
      <c r="D496" s="108"/>
      <c r="E496" s="108"/>
      <c r="F496" s="108"/>
      <c r="G496" s="108"/>
    </row>
    <row r="497" spans="1:7" s="87" customFormat="1">
      <c r="A497" s="108"/>
      <c r="B497" s="108"/>
      <c r="C497" s="108"/>
      <c r="D497" s="108"/>
      <c r="E497" s="108"/>
      <c r="F497" s="108"/>
      <c r="G497" s="108"/>
    </row>
    <row r="498" spans="1:7" s="87" customFormat="1">
      <c r="A498" s="108"/>
      <c r="B498" s="108"/>
      <c r="C498" s="108"/>
      <c r="D498" s="108"/>
      <c r="E498" s="108"/>
      <c r="F498" s="108"/>
      <c r="G498" s="108"/>
    </row>
    <row r="499" spans="1:7" s="87" customFormat="1">
      <c r="A499" s="108"/>
      <c r="B499" s="108"/>
      <c r="C499" s="108"/>
      <c r="D499" s="108"/>
      <c r="E499" s="108"/>
      <c r="F499" s="108"/>
      <c r="G499" s="108"/>
    </row>
    <row r="500" spans="1:7" s="87" customFormat="1">
      <c r="A500" s="108"/>
      <c r="B500" s="108"/>
      <c r="C500" s="108"/>
      <c r="D500" s="108"/>
      <c r="E500" s="108"/>
      <c r="F500" s="108"/>
      <c r="G500" s="108"/>
    </row>
    <row r="501" spans="1:7" s="87" customFormat="1">
      <c r="A501" s="108"/>
      <c r="B501" s="108"/>
      <c r="C501" s="108"/>
      <c r="D501" s="108"/>
      <c r="E501" s="108"/>
      <c r="F501" s="108"/>
      <c r="G501" s="108"/>
    </row>
    <row r="502" spans="1:7" s="87" customFormat="1">
      <c r="A502" s="108"/>
      <c r="B502" s="108"/>
      <c r="C502" s="108"/>
      <c r="D502" s="108"/>
      <c r="E502" s="108"/>
      <c r="F502" s="108"/>
      <c r="G502" s="108"/>
    </row>
    <row r="503" spans="1:7" s="87" customFormat="1">
      <c r="A503" s="108"/>
      <c r="B503" s="108"/>
      <c r="C503" s="108"/>
      <c r="D503" s="108"/>
      <c r="E503" s="108"/>
      <c r="F503" s="108"/>
      <c r="G503" s="108"/>
    </row>
    <row r="504" spans="1:7" s="87" customFormat="1">
      <c r="A504" s="108"/>
      <c r="B504" s="108"/>
      <c r="C504" s="108"/>
      <c r="D504" s="108"/>
      <c r="E504" s="108"/>
      <c r="F504" s="108"/>
      <c r="G504" s="108"/>
    </row>
    <row r="505" spans="1:7" s="87" customFormat="1">
      <c r="A505" s="108"/>
      <c r="B505" s="108"/>
      <c r="C505" s="108"/>
      <c r="D505" s="108"/>
      <c r="E505" s="108"/>
      <c r="F505" s="108"/>
      <c r="G505" s="108"/>
    </row>
    <row r="506" spans="1:7" s="87" customFormat="1">
      <c r="A506" s="108"/>
      <c r="B506" s="108"/>
      <c r="C506" s="108"/>
      <c r="D506" s="108"/>
      <c r="E506" s="108"/>
      <c r="F506" s="108"/>
      <c r="G506" s="108"/>
    </row>
    <row r="507" spans="1:7" s="87" customFormat="1">
      <c r="A507" s="108"/>
      <c r="B507" s="108"/>
      <c r="C507" s="108"/>
      <c r="D507" s="108"/>
      <c r="E507" s="108"/>
      <c r="F507" s="108"/>
      <c r="G507" s="108"/>
    </row>
    <row r="508" spans="1:7" s="87" customFormat="1">
      <c r="A508" s="108"/>
      <c r="B508" s="108"/>
      <c r="C508" s="108"/>
      <c r="D508" s="108"/>
      <c r="E508" s="108"/>
      <c r="F508" s="108"/>
      <c r="G508" s="108"/>
    </row>
    <row r="509" spans="1:7" s="87" customFormat="1">
      <c r="A509" s="108"/>
      <c r="B509" s="108"/>
      <c r="C509" s="108"/>
      <c r="D509" s="108"/>
      <c r="E509" s="108"/>
      <c r="F509" s="108"/>
      <c r="G509" s="108"/>
    </row>
    <row r="510" spans="1:7" s="87" customFormat="1">
      <c r="A510" s="108"/>
      <c r="B510" s="108"/>
      <c r="C510" s="108"/>
      <c r="D510" s="108"/>
      <c r="E510" s="108"/>
      <c r="F510" s="108"/>
      <c r="G510" s="108"/>
    </row>
    <row r="511" spans="1:7" s="87" customFormat="1">
      <c r="A511" s="108"/>
      <c r="B511" s="108"/>
      <c r="C511" s="108"/>
      <c r="D511" s="108"/>
      <c r="E511" s="108"/>
      <c r="F511" s="108"/>
      <c r="G511" s="108"/>
    </row>
    <row r="512" spans="1:7" s="87" customFormat="1">
      <c r="A512" s="108"/>
      <c r="B512" s="108"/>
      <c r="C512" s="108"/>
      <c r="D512" s="108"/>
      <c r="E512" s="108"/>
      <c r="F512" s="108"/>
      <c r="G512" s="108"/>
    </row>
    <row r="513" spans="1:7" s="87" customFormat="1">
      <c r="A513" s="108"/>
      <c r="B513" s="108"/>
      <c r="C513" s="108"/>
      <c r="D513" s="108"/>
      <c r="E513" s="108"/>
      <c r="F513" s="108"/>
      <c r="G513" s="108"/>
    </row>
    <row r="514" spans="1:7" s="87" customFormat="1">
      <c r="A514" s="108"/>
      <c r="B514" s="108"/>
      <c r="C514" s="108"/>
      <c r="D514" s="108"/>
      <c r="E514" s="108"/>
      <c r="F514" s="108"/>
      <c r="G514" s="108"/>
    </row>
    <row r="515" spans="1:7" s="87" customFormat="1">
      <c r="A515" s="108"/>
      <c r="B515" s="108"/>
      <c r="C515" s="108"/>
      <c r="D515" s="108"/>
      <c r="E515" s="108"/>
      <c r="F515" s="108"/>
      <c r="G515" s="108"/>
    </row>
    <row r="516" spans="1:7" s="87" customFormat="1">
      <c r="A516" s="108"/>
      <c r="B516" s="108"/>
      <c r="C516" s="108"/>
      <c r="D516" s="108"/>
      <c r="E516" s="108"/>
      <c r="F516" s="108"/>
      <c r="G516" s="108"/>
    </row>
    <row r="517" spans="1:7" s="87" customFormat="1">
      <c r="A517" s="108"/>
      <c r="B517" s="108"/>
      <c r="C517" s="108"/>
      <c r="D517" s="108"/>
      <c r="E517" s="108"/>
      <c r="F517" s="108"/>
      <c r="G517" s="108"/>
    </row>
    <row r="518" spans="1:7" s="87" customFormat="1">
      <c r="A518" s="108"/>
      <c r="B518" s="108"/>
      <c r="C518" s="108"/>
      <c r="D518" s="108"/>
      <c r="E518" s="108"/>
      <c r="F518" s="108"/>
      <c r="G518" s="108"/>
    </row>
    <row r="519" spans="1:7" s="87" customFormat="1">
      <c r="A519" s="108"/>
      <c r="B519" s="108"/>
      <c r="C519" s="108"/>
      <c r="D519" s="108"/>
      <c r="E519" s="108"/>
      <c r="F519" s="108"/>
      <c r="G519" s="108"/>
    </row>
    <row r="520" spans="1:7" s="87" customFormat="1">
      <c r="A520" s="108"/>
      <c r="B520" s="108"/>
      <c r="C520" s="108"/>
      <c r="D520" s="108"/>
      <c r="E520" s="108"/>
      <c r="F520" s="108"/>
      <c r="G520" s="108"/>
    </row>
    <row r="521" spans="1:7" s="87" customFormat="1">
      <c r="A521" s="108"/>
      <c r="B521" s="108"/>
      <c r="C521" s="108"/>
      <c r="D521" s="108"/>
      <c r="E521" s="108"/>
      <c r="F521" s="108"/>
      <c r="G521" s="108"/>
    </row>
    <row r="522" spans="1:7" s="87" customFormat="1">
      <c r="A522" s="108"/>
      <c r="B522" s="108"/>
      <c r="C522" s="108"/>
      <c r="D522" s="108"/>
      <c r="E522" s="108"/>
      <c r="F522" s="108"/>
      <c r="G522" s="108"/>
    </row>
    <row r="523" spans="1:7" s="87" customFormat="1">
      <c r="A523" s="108"/>
      <c r="B523" s="108"/>
      <c r="C523" s="108"/>
      <c r="D523" s="108"/>
      <c r="E523" s="108"/>
      <c r="F523" s="108"/>
      <c r="G523" s="108"/>
    </row>
    <row r="524" spans="1:7" s="87" customFormat="1">
      <c r="A524" s="108"/>
      <c r="B524" s="108"/>
      <c r="C524" s="108"/>
      <c r="D524" s="108"/>
      <c r="E524" s="108"/>
      <c r="F524" s="108"/>
      <c r="G524" s="108"/>
    </row>
    <row r="525" spans="1:7" s="87" customFormat="1">
      <c r="A525" s="108"/>
      <c r="B525" s="108"/>
      <c r="C525" s="108"/>
      <c r="D525" s="108"/>
      <c r="E525" s="108"/>
      <c r="F525" s="108"/>
      <c r="G525" s="108"/>
    </row>
    <row r="526" spans="1:7" s="87" customFormat="1">
      <c r="A526" s="108"/>
      <c r="B526" s="108"/>
      <c r="C526" s="108"/>
      <c r="D526" s="108"/>
      <c r="E526" s="108"/>
      <c r="F526" s="108"/>
      <c r="G526" s="108"/>
    </row>
    <row r="527" spans="1:7" s="87" customFormat="1">
      <c r="A527" s="108"/>
      <c r="B527" s="108"/>
      <c r="C527" s="108"/>
      <c r="D527" s="108"/>
      <c r="E527" s="108"/>
      <c r="F527" s="108"/>
      <c r="G527" s="108"/>
    </row>
    <row r="528" spans="1:7" s="87" customFormat="1">
      <c r="A528" s="108"/>
      <c r="B528" s="108"/>
      <c r="C528" s="108"/>
      <c r="D528" s="108"/>
      <c r="E528" s="108"/>
      <c r="F528" s="108"/>
      <c r="G528" s="108"/>
    </row>
    <row r="529" spans="1:7" s="87" customFormat="1">
      <c r="A529" s="108"/>
      <c r="B529" s="108"/>
      <c r="C529" s="108"/>
      <c r="D529" s="108"/>
      <c r="E529" s="108"/>
      <c r="F529" s="108"/>
      <c r="G529" s="108"/>
    </row>
    <row r="530" spans="1:7" s="87" customFormat="1">
      <c r="A530" s="108"/>
      <c r="B530" s="108"/>
      <c r="C530" s="108"/>
      <c r="D530" s="108"/>
      <c r="E530" s="108"/>
      <c r="F530" s="108"/>
      <c r="G530" s="108"/>
    </row>
    <row r="531" spans="1:7" s="87" customFormat="1">
      <c r="A531" s="108"/>
      <c r="B531" s="108"/>
      <c r="C531" s="108"/>
      <c r="D531" s="108"/>
      <c r="E531" s="108"/>
      <c r="F531" s="108"/>
      <c r="G531" s="108"/>
    </row>
    <row r="532" spans="1:7" s="87" customFormat="1">
      <c r="A532" s="108"/>
      <c r="B532" s="108"/>
      <c r="C532" s="108"/>
      <c r="D532" s="108"/>
      <c r="E532" s="108"/>
      <c r="F532" s="108"/>
      <c r="G532" s="108"/>
    </row>
    <row r="533" spans="1:7" s="87" customFormat="1">
      <c r="A533" s="108"/>
      <c r="B533" s="108"/>
      <c r="C533" s="108"/>
      <c r="D533" s="108"/>
      <c r="E533" s="108"/>
      <c r="F533" s="108"/>
      <c r="G533" s="108"/>
    </row>
    <row r="534" spans="1:7" s="87" customFormat="1">
      <c r="A534" s="108"/>
      <c r="B534" s="108"/>
      <c r="C534" s="108"/>
      <c r="D534" s="108"/>
      <c r="E534" s="108"/>
      <c r="F534" s="108"/>
      <c r="G534" s="108"/>
    </row>
    <row r="535" spans="1:7" s="87" customFormat="1">
      <c r="A535" s="108"/>
      <c r="B535" s="108"/>
      <c r="C535" s="108"/>
      <c r="D535" s="108"/>
      <c r="E535" s="108"/>
      <c r="F535" s="108"/>
      <c r="G535" s="108"/>
    </row>
    <row r="536" spans="1:7" s="87" customFormat="1">
      <c r="A536" s="108"/>
      <c r="B536" s="108"/>
      <c r="C536" s="108"/>
      <c r="D536" s="108"/>
      <c r="E536" s="108"/>
      <c r="F536" s="108"/>
      <c r="G536" s="108"/>
    </row>
    <row r="537" spans="1:7" s="87" customFormat="1">
      <c r="A537" s="108"/>
      <c r="B537" s="108"/>
      <c r="C537" s="108"/>
      <c r="D537" s="108"/>
      <c r="E537" s="108"/>
      <c r="F537" s="108"/>
      <c r="G537" s="108"/>
    </row>
    <row r="538" spans="1:7" s="87" customFormat="1">
      <c r="A538" s="108"/>
      <c r="B538" s="108"/>
      <c r="C538" s="108"/>
      <c r="D538" s="108"/>
      <c r="E538" s="108"/>
      <c r="F538" s="108"/>
      <c r="G538" s="108"/>
    </row>
    <row r="539" spans="1:7" s="87" customFormat="1">
      <c r="A539" s="108"/>
      <c r="B539" s="108"/>
      <c r="C539" s="108"/>
      <c r="D539" s="108"/>
      <c r="E539" s="108"/>
      <c r="F539" s="108"/>
      <c r="G539" s="108"/>
    </row>
    <row r="540" spans="1:7" s="87" customFormat="1">
      <c r="A540" s="108"/>
      <c r="B540" s="108"/>
      <c r="C540" s="108"/>
      <c r="D540" s="108"/>
      <c r="E540" s="108"/>
      <c r="F540" s="108"/>
      <c r="G540" s="108"/>
    </row>
    <row r="541" spans="1:7" s="87" customFormat="1">
      <c r="A541" s="108"/>
      <c r="B541" s="108"/>
      <c r="C541" s="108"/>
      <c r="D541" s="108"/>
      <c r="E541" s="108"/>
      <c r="F541" s="108"/>
      <c r="G541" s="108"/>
    </row>
    <row r="542" spans="1:7" s="87" customFormat="1">
      <c r="A542" s="108"/>
      <c r="B542" s="108"/>
      <c r="C542" s="108"/>
      <c r="D542" s="108"/>
      <c r="E542" s="108"/>
      <c r="F542" s="108"/>
      <c r="G542" s="108"/>
    </row>
    <row r="543" spans="1:7" s="87" customFormat="1">
      <c r="A543" s="108"/>
      <c r="B543" s="108"/>
      <c r="C543" s="108"/>
      <c r="D543" s="108"/>
      <c r="E543" s="108"/>
      <c r="F543" s="108"/>
      <c r="G543" s="108"/>
    </row>
    <row r="544" spans="1:7" s="87" customFormat="1">
      <c r="A544" s="108"/>
      <c r="B544" s="108"/>
      <c r="C544" s="108"/>
      <c r="D544" s="108"/>
      <c r="E544" s="108"/>
      <c r="F544" s="108"/>
      <c r="G544" s="108"/>
    </row>
    <row r="545" spans="1:7" s="87" customFormat="1">
      <c r="A545" s="108"/>
      <c r="B545" s="108"/>
      <c r="C545" s="108"/>
      <c r="D545" s="108"/>
      <c r="E545" s="108"/>
      <c r="F545" s="108"/>
      <c r="G545" s="108"/>
    </row>
    <row r="546" spans="1:7" s="87" customFormat="1">
      <c r="A546" s="108"/>
      <c r="B546" s="108"/>
      <c r="C546" s="108"/>
      <c r="D546" s="108"/>
      <c r="E546" s="108"/>
      <c r="F546" s="108"/>
      <c r="G546" s="108"/>
    </row>
    <row r="547" spans="1:7" s="87" customFormat="1">
      <c r="A547" s="108"/>
      <c r="B547" s="108"/>
      <c r="C547" s="108"/>
      <c r="D547" s="108"/>
      <c r="E547" s="108"/>
      <c r="F547" s="108"/>
      <c r="G547" s="108"/>
    </row>
    <row r="548" spans="1:7" s="87" customFormat="1">
      <c r="A548" s="108"/>
      <c r="B548" s="108"/>
      <c r="C548" s="108"/>
      <c r="D548" s="108"/>
      <c r="E548" s="108"/>
      <c r="F548" s="108"/>
      <c r="G548" s="108"/>
    </row>
    <row r="549" spans="1:7" s="87" customFormat="1">
      <c r="A549" s="108"/>
      <c r="B549" s="108"/>
      <c r="C549" s="108"/>
      <c r="D549" s="108"/>
      <c r="E549" s="108"/>
      <c r="F549" s="108"/>
      <c r="G549" s="108"/>
    </row>
    <row r="550" spans="1:7" s="87" customFormat="1">
      <c r="A550" s="108"/>
      <c r="B550" s="108"/>
      <c r="C550" s="108"/>
      <c r="D550" s="108"/>
      <c r="E550" s="108"/>
      <c r="F550" s="108"/>
      <c r="G550" s="108"/>
    </row>
    <row r="551" spans="1:7" s="87" customFormat="1">
      <c r="A551" s="108"/>
      <c r="B551" s="108"/>
      <c r="C551" s="108"/>
      <c r="D551" s="108"/>
      <c r="E551" s="108"/>
      <c r="F551" s="108"/>
      <c r="G551" s="108"/>
    </row>
    <row r="552" spans="1:7" s="87" customFormat="1">
      <c r="A552" s="108"/>
      <c r="B552" s="108"/>
      <c r="C552" s="108"/>
      <c r="D552" s="108"/>
      <c r="E552" s="108"/>
      <c r="F552" s="108"/>
      <c r="G552" s="108"/>
    </row>
    <row r="553" spans="1:7" s="87" customFormat="1">
      <c r="A553" s="108"/>
      <c r="B553" s="108"/>
      <c r="C553" s="108"/>
      <c r="D553" s="108"/>
      <c r="E553" s="108"/>
      <c r="F553" s="108"/>
      <c r="G553" s="108"/>
    </row>
    <row r="554" spans="1:7" s="87" customFormat="1">
      <c r="A554" s="108"/>
      <c r="B554" s="108"/>
      <c r="C554" s="108"/>
      <c r="D554" s="108"/>
      <c r="E554" s="108"/>
      <c r="F554" s="108"/>
      <c r="G554" s="108"/>
    </row>
    <row r="555" spans="1:7" s="87" customFormat="1">
      <c r="A555" s="108"/>
      <c r="B555" s="108"/>
      <c r="C555" s="108"/>
      <c r="D555" s="108"/>
      <c r="E555" s="108"/>
      <c r="F555" s="108"/>
      <c r="G555" s="108"/>
    </row>
    <row r="556" spans="1:7" s="87" customFormat="1">
      <c r="A556" s="108"/>
      <c r="B556" s="108"/>
      <c r="C556" s="108"/>
      <c r="D556" s="108"/>
      <c r="E556" s="108"/>
      <c r="F556" s="108"/>
      <c r="G556" s="108"/>
    </row>
    <row r="557" spans="1:7" s="87" customFormat="1">
      <c r="A557" s="108"/>
      <c r="B557" s="108"/>
      <c r="C557" s="108"/>
      <c r="D557" s="108"/>
      <c r="E557" s="108"/>
      <c r="F557" s="108"/>
      <c r="G557" s="108"/>
    </row>
    <row r="558" spans="1:7" s="87" customFormat="1">
      <c r="A558" s="108"/>
      <c r="B558" s="108"/>
      <c r="C558" s="108"/>
      <c r="D558" s="108"/>
      <c r="E558" s="108"/>
      <c r="F558" s="108"/>
      <c r="G558" s="108"/>
    </row>
    <row r="559" spans="1:7" s="87" customFormat="1">
      <c r="A559" s="108"/>
      <c r="B559" s="108"/>
      <c r="C559" s="108"/>
      <c r="D559" s="108"/>
      <c r="E559" s="108"/>
      <c r="F559" s="108"/>
      <c r="G559" s="108"/>
    </row>
    <row r="560" spans="1:7" s="87" customFormat="1">
      <c r="A560" s="108"/>
      <c r="B560" s="108"/>
      <c r="C560" s="108"/>
      <c r="D560" s="108"/>
      <c r="E560" s="108"/>
      <c r="F560" s="108"/>
      <c r="G560" s="108"/>
    </row>
    <row r="561" spans="1:7" s="87" customFormat="1">
      <c r="A561" s="108"/>
      <c r="B561" s="108"/>
      <c r="C561" s="108"/>
      <c r="D561" s="108"/>
      <c r="E561" s="108"/>
      <c r="F561" s="108"/>
      <c r="G561" s="108"/>
    </row>
    <row r="562" spans="1:7" s="87" customFormat="1">
      <c r="A562" s="108"/>
      <c r="B562" s="108"/>
      <c r="C562" s="108"/>
      <c r="D562" s="108"/>
      <c r="E562" s="108"/>
      <c r="F562" s="108"/>
      <c r="G562" s="108"/>
    </row>
    <row r="563" spans="1:7" s="87" customFormat="1">
      <c r="A563" s="108"/>
      <c r="B563" s="108"/>
      <c r="C563" s="108"/>
      <c r="D563" s="108"/>
      <c r="E563" s="108"/>
      <c r="F563" s="108"/>
      <c r="G563" s="108"/>
    </row>
    <row r="564" spans="1:7" s="87" customFormat="1">
      <c r="A564" s="108"/>
      <c r="B564" s="108"/>
      <c r="C564" s="108"/>
      <c r="D564" s="108"/>
      <c r="E564" s="108"/>
      <c r="F564" s="108"/>
      <c r="G564" s="108"/>
    </row>
    <row r="565" spans="1:7" s="87" customFormat="1">
      <c r="A565" s="108"/>
      <c r="B565" s="108"/>
      <c r="C565" s="108"/>
      <c r="D565" s="108"/>
      <c r="E565" s="108"/>
      <c r="F565" s="108"/>
      <c r="G565" s="108"/>
    </row>
    <row r="566" spans="1:7" s="87" customFormat="1">
      <c r="A566" s="108"/>
      <c r="B566" s="108"/>
      <c r="C566" s="108"/>
      <c r="D566" s="108"/>
      <c r="E566" s="108"/>
      <c r="F566" s="108"/>
      <c r="G566" s="108"/>
    </row>
    <row r="567" spans="1:7" s="87" customFormat="1">
      <c r="A567" s="108"/>
      <c r="B567" s="108"/>
      <c r="C567" s="108"/>
      <c r="D567" s="108"/>
      <c r="E567" s="108"/>
      <c r="F567" s="108"/>
      <c r="G567" s="108"/>
    </row>
    <row r="568" spans="1:7" s="87" customFormat="1">
      <c r="A568" s="108"/>
      <c r="B568" s="108"/>
      <c r="C568" s="108"/>
      <c r="D568" s="108"/>
      <c r="E568" s="108"/>
      <c r="F568" s="108"/>
      <c r="G568" s="108"/>
    </row>
    <row r="569" spans="1:7" s="87" customFormat="1">
      <c r="A569" s="108"/>
      <c r="B569" s="108"/>
      <c r="C569" s="108"/>
      <c r="D569" s="108"/>
      <c r="E569" s="108"/>
      <c r="F569" s="108"/>
      <c r="G569" s="108"/>
    </row>
    <row r="570" spans="1:7" s="87" customFormat="1">
      <c r="A570" s="108"/>
      <c r="B570" s="108"/>
      <c r="C570" s="108"/>
      <c r="D570" s="108"/>
      <c r="E570" s="108"/>
      <c r="F570" s="108"/>
      <c r="G570" s="108"/>
    </row>
    <row r="571" spans="1:7" s="87" customFormat="1">
      <c r="A571" s="108"/>
      <c r="B571" s="108"/>
      <c r="C571" s="108"/>
      <c r="D571" s="108"/>
      <c r="E571" s="108"/>
      <c r="F571" s="108"/>
      <c r="G571" s="108"/>
    </row>
    <row r="572" spans="1:7" s="87" customFormat="1">
      <c r="A572" s="108"/>
      <c r="B572" s="108"/>
      <c r="C572" s="108"/>
      <c r="D572" s="108"/>
      <c r="E572" s="108"/>
      <c r="F572" s="108"/>
      <c r="G572" s="108"/>
    </row>
    <row r="573" spans="1:7" s="87" customFormat="1">
      <c r="A573" s="108"/>
      <c r="B573" s="108"/>
      <c r="C573" s="108"/>
      <c r="D573" s="108"/>
      <c r="E573" s="108"/>
      <c r="F573" s="108"/>
      <c r="G573" s="108"/>
    </row>
    <row r="574" spans="1:7" s="87" customFormat="1">
      <c r="A574" s="108"/>
      <c r="B574" s="108"/>
      <c r="C574" s="108"/>
      <c r="D574" s="108"/>
      <c r="E574" s="108"/>
      <c r="F574" s="108"/>
      <c r="G574" s="108"/>
    </row>
    <row r="575" spans="1:7" s="87" customFormat="1">
      <c r="A575" s="108"/>
      <c r="B575" s="108"/>
      <c r="C575" s="108"/>
      <c r="D575" s="108"/>
      <c r="E575" s="108"/>
      <c r="F575" s="108"/>
      <c r="G575" s="108"/>
    </row>
    <row r="576" spans="1:7" s="87" customFormat="1">
      <c r="A576" s="108"/>
      <c r="B576" s="108"/>
      <c r="C576" s="108"/>
      <c r="D576" s="108"/>
      <c r="E576" s="108"/>
      <c r="F576" s="108"/>
      <c r="G576" s="108"/>
    </row>
    <row r="577" spans="1:7" s="87" customFormat="1">
      <c r="A577" s="108"/>
      <c r="B577" s="108"/>
      <c r="C577" s="108"/>
      <c r="D577" s="108"/>
      <c r="E577" s="108"/>
      <c r="F577" s="108"/>
      <c r="G577" s="108"/>
    </row>
    <row r="578" spans="1:7" s="87" customFormat="1">
      <c r="A578" s="108"/>
      <c r="B578" s="108"/>
      <c r="C578" s="108"/>
      <c r="D578" s="108"/>
      <c r="E578" s="108"/>
      <c r="F578" s="108"/>
      <c r="G578" s="108"/>
    </row>
    <row r="579" spans="1:7" s="87" customFormat="1">
      <c r="A579" s="108"/>
      <c r="B579" s="108"/>
      <c r="C579" s="108"/>
      <c r="D579" s="108"/>
      <c r="E579" s="108"/>
      <c r="F579" s="108"/>
      <c r="G579" s="108"/>
    </row>
    <row r="580" spans="1:7" s="87" customFormat="1">
      <c r="A580" s="108"/>
      <c r="B580" s="108"/>
      <c r="C580" s="108"/>
      <c r="D580" s="108"/>
      <c r="E580" s="108"/>
      <c r="F580" s="108"/>
      <c r="G580" s="108"/>
    </row>
    <row r="581" spans="1:7" s="87" customFormat="1">
      <c r="A581" s="108"/>
      <c r="B581" s="108"/>
      <c r="C581" s="108"/>
      <c r="D581" s="108"/>
      <c r="E581" s="108"/>
      <c r="F581" s="108"/>
      <c r="G581" s="108"/>
    </row>
    <row r="582" spans="1:7" s="87" customFormat="1">
      <c r="A582" s="108"/>
      <c r="B582" s="108"/>
      <c r="C582" s="108"/>
      <c r="D582" s="108"/>
      <c r="E582" s="108"/>
      <c r="F582" s="108"/>
      <c r="G582" s="108"/>
    </row>
    <row r="583" spans="1:7" s="87" customFormat="1">
      <c r="A583" s="108"/>
      <c r="B583" s="108"/>
      <c r="C583" s="108"/>
      <c r="D583" s="108"/>
      <c r="E583" s="108"/>
      <c r="F583" s="108"/>
      <c r="G583" s="108"/>
    </row>
    <row r="584" spans="1:7" s="87" customFormat="1">
      <c r="A584" s="108"/>
      <c r="B584" s="108"/>
      <c r="C584" s="108"/>
      <c r="D584" s="108"/>
      <c r="E584" s="108"/>
      <c r="F584" s="108"/>
      <c r="G584" s="108"/>
    </row>
    <row r="585" spans="1:7" s="87" customFormat="1">
      <c r="A585" s="108"/>
      <c r="B585" s="108"/>
      <c r="C585" s="108"/>
      <c r="D585" s="108"/>
      <c r="E585" s="108"/>
      <c r="F585" s="108"/>
      <c r="G585" s="108"/>
    </row>
    <row r="586" spans="1:7" s="87" customFormat="1">
      <c r="A586" s="108"/>
      <c r="B586" s="108"/>
      <c r="C586" s="108"/>
      <c r="D586" s="108"/>
      <c r="E586" s="108"/>
      <c r="F586" s="108"/>
      <c r="G586" s="108"/>
    </row>
    <row r="587" spans="1:7" s="87" customFormat="1">
      <c r="A587" s="108"/>
      <c r="B587" s="108"/>
      <c r="C587" s="108"/>
      <c r="D587" s="108"/>
      <c r="E587" s="108"/>
      <c r="F587" s="108"/>
      <c r="G587" s="108"/>
    </row>
    <row r="588" spans="1:7" s="87" customFormat="1">
      <c r="A588" s="108"/>
      <c r="B588" s="108"/>
      <c r="C588" s="108"/>
      <c r="D588" s="108"/>
      <c r="E588" s="108"/>
      <c r="F588" s="108"/>
      <c r="G588" s="108"/>
    </row>
    <row r="589" spans="1:7" s="87" customFormat="1">
      <c r="A589" s="108"/>
      <c r="B589" s="108"/>
      <c r="C589" s="108"/>
      <c r="D589" s="108"/>
      <c r="E589" s="108"/>
      <c r="F589" s="108"/>
      <c r="G589" s="108"/>
    </row>
    <row r="590" spans="1:7" s="87" customFormat="1">
      <c r="A590" s="108"/>
      <c r="B590" s="108"/>
      <c r="C590" s="108"/>
      <c r="D590" s="108"/>
      <c r="E590" s="108"/>
      <c r="F590" s="108"/>
      <c r="G590" s="108"/>
    </row>
    <row r="591" spans="1:7" s="87" customFormat="1">
      <c r="A591" s="108"/>
      <c r="B591" s="108"/>
      <c r="C591" s="108"/>
      <c r="D591" s="108"/>
      <c r="E591" s="108"/>
      <c r="F591" s="108"/>
      <c r="G591" s="108"/>
    </row>
    <row r="592" spans="1:7" s="87" customFormat="1">
      <c r="A592" s="108"/>
      <c r="B592" s="108"/>
      <c r="C592" s="108"/>
      <c r="D592" s="108"/>
      <c r="E592" s="108"/>
      <c r="F592" s="108"/>
      <c r="G592" s="108"/>
    </row>
    <row r="593" spans="1:7" s="87" customFormat="1">
      <c r="A593" s="108"/>
      <c r="B593" s="108"/>
      <c r="C593" s="108"/>
      <c r="D593" s="108"/>
      <c r="E593" s="108"/>
      <c r="F593" s="108"/>
      <c r="G593" s="108"/>
    </row>
    <row r="594" spans="1:7" s="87" customFormat="1">
      <c r="A594" s="108"/>
      <c r="B594" s="108"/>
      <c r="C594" s="108"/>
      <c r="D594" s="108"/>
      <c r="E594" s="108"/>
      <c r="F594" s="108"/>
      <c r="G594" s="108"/>
    </row>
    <row r="595" spans="1:7" s="87" customFormat="1">
      <c r="A595" s="108"/>
      <c r="B595" s="108"/>
      <c r="C595" s="108"/>
      <c r="D595" s="108"/>
      <c r="E595" s="108"/>
      <c r="F595" s="108"/>
      <c r="G595" s="108"/>
    </row>
    <row r="596" spans="1:7" s="87" customFormat="1">
      <c r="A596" s="108"/>
      <c r="B596" s="108"/>
      <c r="C596" s="108"/>
      <c r="D596" s="108"/>
      <c r="E596" s="108"/>
      <c r="F596" s="108"/>
      <c r="G596" s="108"/>
    </row>
    <row r="597" spans="1:7" s="87" customFormat="1">
      <c r="A597" s="108"/>
      <c r="B597" s="108"/>
      <c r="C597" s="108"/>
      <c r="D597" s="108"/>
      <c r="E597" s="108"/>
      <c r="F597" s="108"/>
      <c r="G597" s="108"/>
    </row>
    <row r="598" spans="1:7" s="87" customFormat="1">
      <c r="A598" s="108"/>
      <c r="B598" s="108"/>
      <c r="C598" s="108"/>
      <c r="D598" s="108"/>
      <c r="E598" s="108"/>
      <c r="F598" s="108"/>
      <c r="G598" s="108"/>
    </row>
    <row r="599" spans="1:7" s="87" customFormat="1">
      <c r="A599" s="108"/>
      <c r="B599" s="108"/>
      <c r="C599" s="108"/>
      <c r="D599" s="108"/>
      <c r="E599" s="108"/>
      <c r="F599" s="108"/>
      <c r="G599" s="108"/>
    </row>
    <row r="600" spans="1:7" s="87" customFormat="1">
      <c r="A600" s="108"/>
      <c r="B600" s="108"/>
      <c r="C600" s="108"/>
      <c r="D600" s="108"/>
      <c r="E600" s="108"/>
      <c r="F600" s="108"/>
      <c r="G600" s="108"/>
    </row>
    <row r="601" spans="1:7" s="87" customFormat="1">
      <c r="A601" s="108"/>
      <c r="B601" s="108"/>
      <c r="C601" s="108"/>
      <c r="D601" s="108"/>
      <c r="E601" s="108"/>
      <c r="F601" s="108"/>
      <c r="G601" s="108"/>
    </row>
    <row r="602" spans="1:7" s="87" customFormat="1">
      <c r="A602" s="108"/>
      <c r="B602" s="108"/>
      <c r="C602" s="108"/>
      <c r="D602" s="108"/>
      <c r="E602" s="108"/>
      <c r="F602" s="108"/>
      <c r="G602" s="108"/>
    </row>
    <row r="603" spans="1:7" s="87" customFormat="1">
      <c r="A603" s="108"/>
      <c r="B603" s="108"/>
      <c r="C603" s="108"/>
      <c r="D603" s="108"/>
      <c r="E603" s="108"/>
      <c r="F603" s="108"/>
      <c r="G603" s="108"/>
    </row>
    <row r="604" spans="1:7" s="87" customFormat="1">
      <c r="A604" s="108"/>
      <c r="B604" s="108"/>
      <c r="C604" s="108"/>
      <c r="D604" s="108"/>
      <c r="E604" s="108"/>
      <c r="F604" s="108"/>
      <c r="G604" s="108"/>
    </row>
    <row r="605" spans="1:7" s="87" customFormat="1">
      <c r="A605" s="108"/>
      <c r="B605" s="108"/>
      <c r="C605" s="108"/>
      <c r="D605" s="108"/>
      <c r="E605" s="108"/>
      <c r="F605" s="108"/>
      <c r="G605" s="108"/>
    </row>
    <row r="606" spans="1:7" s="87" customFormat="1">
      <c r="A606" s="108"/>
      <c r="B606" s="108"/>
      <c r="C606" s="108"/>
      <c r="D606" s="108"/>
      <c r="E606" s="108"/>
      <c r="F606" s="108"/>
      <c r="G606" s="108"/>
    </row>
    <row r="607" spans="1:7" s="87" customFormat="1">
      <c r="A607" s="108"/>
      <c r="B607" s="108"/>
      <c r="C607" s="108"/>
      <c r="D607" s="108"/>
      <c r="E607" s="108"/>
      <c r="F607" s="108"/>
      <c r="G607" s="108"/>
    </row>
    <row r="608" spans="1:7" s="87" customFormat="1">
      <c r="A608" s="108"/>
      <c r="B608" s="108"/>
      <c r="C608" s="108"/>
      <c r="D608" s="108"/>
      <c r="E608" s="108"/>
      <c r="F608" s="108"/>
      <c r="G608" s="108"/>
    </row>
    <row r="609" spans="1:7" s="87" customFormat="1">
      <c r="A609" s="108"/>
      <c r="B609" s="108"/>
      <c r="C609" s="108"/>
      <c r="D609" s="108"/>
      <c r="E609" s="108"/>
      <c r="F609" s="108"/>
      <c r="G609" s="108"/>
    </row>
    <row r="610" spans="1:7" s="87" customFormat="1">
      <c r="A610" s="108"/>
      <c r="B610" s="108"/>
      <c r="C610" s="108"/>
      <c r="D610" s="108"/>
      <c r="E610" s="108"/>
      <c r="F610" s="108"/>
      <c r="G610" s="108"/>
    </row>
    <row r="611" spans="1:7" s="87" customFormat="1">
      <c r="A611" s="108"/>
      <c r="B611" s="108"/>
      <c r="C611" s="108"/>
      <c r="D611" s="108"/>
      <c r="E611" s="108"/>
      <c r="F611" s="108"/>
      <c r="G611" s="108"/>
    </row>
    <row r="612" spans="1:7" s="87" customFormat="1">
      <c r="A612" s="108"/>
      <c r="B612" s="108"/>
      <c r="C612" s="108"/>
      <c r="D612" s="108"/>
      <c r="E612" s="108"/>
      <c r="F612" s="108"/>
      <c r="G612" s="108"/>
    </row>
    <row r="613" spans="1:7" s="87" customFormat="1">
      <c r="A613" s="108"/>
      <c r="B613" s="108"/>
      <c r="C613" s="108"/>
      <c r="D613" s="108"/>
      <c r="E613" s="108"/>
      <c r="F613" s="108"/>
      <c r="G613" s="108"/>
    </row>
    <row r="614" spans="1:7" s="87" customFormat="1">
      <c r="A614" s="108"/>
      <c r="B614" s="108"/>
      <c r="C614" s="108"/>
      <c r="D614" s="108"/>
      <c r="E614" s="108"/>
      <c r="F614" s="108"/>
      <c r="G614" s="108"/>
    </row>
    <row r="615" spans="1:7" s="87" customFormat="1">
      <c r="A615" s="108"/>
      <c r="B615" s="108"/>
      <c r="C615" s="108"/>
      <c r="D615" s="108"/>
      <c r="E615" s="108"/>
      <c r="F615" s="108"/>
      <c r="G615" s="108"/>
    </row>
    <row r="616" spans="1:7" s="87" customFormat="1">
      <c r="A616" s="108"/>
      <c r="B616" s="108"/>
      <c r="C616" s="108"/>
      <c r="D616" s="108"/>
      <c r="E616" s="108"/>
      <c r="F616" s="108"/>
      <c r="G616" s="108"/>
    </row>
    <row r="617" spans="1:7" s="87" customFormat="1">
      <c r="A617" s="108"/>
      <c r="B617" s="108"/>
      <c r="C617" s="108"/>
      <c r="D617" s="108"/>
      <c r="E617" s="108"/>
      <c r="F617" s="108"/>
      <c r="G617" s="108"/>
    </row>
    <row r="618" spans="1:7" s="87" customFormat="1">
      <c r="A618" s="108"/>
      <c r="B618" s="108"/>
      <c r="C618" s="108"/>
      <c r="D618" s="108"/>
      <c r="E618" s="108"/>
      <c r="F618" s="108"/>
      <c r="G618" s="108"/>
    </row>
    <row r="619" spans="1:7" s="87" customFormat="1">
      <c r="A619" s="108"/>
      <c r="B619" s="108"/>
      <c r="C619" s="108"/>
      <c r="D619" s="108"/>
      <c r="E619" s="108"/>
      <c r="F619" s="108"/>
      <c r="G619" s="108"/>
    </row>
    <row r="620" spans="1:7" s="87" customFormat="1">
      <c r="A620" s="108"/>
      <c r="B620" s="108"/>
      <c r="C620" s="108"/>
      <c r="D620" s="108"/>
      <c r="E620" s="108"/>
      <c r="F620" s="108"/>
      <c r="G620" s="108"/>
    </row>
    <row r="621" spans="1:7" s="87" customFormat="1">
      <c r="A621" s="108"/>
      <c r="B621" s="108"/>
      <c r="C621" s="108"/>
      <c r="D621" s="108"/>
      <c r="E621" s="108"/>
      <c r="F621" s="108"/>
      <c r="G621" s="108"/>
    </row>
    <row r="622" spans="1:7" s="87" customFormat="1">
      <c r="A622" s="108"/>
      <c r="B622" s="108"/>
      <c r="C622" s="108"/>
      <c r="D622" s="108"/>
      <c r="E622" s="108"/>
      <c r="F622" s="108"/>
      <c r="G622" s="108"/>
    </row>
    <row r="623" spans="1:7" s="87" customFormat="1">
      <c r="A623" s="108"/>
      <c r="B623" s="108"/>
      <c r="C623" s="108"/>
      <c r="D623" s="108"/>
      <c r="E623" s="108"/>
      <c r="F623" s="108"/>
      <c r="G623" s="108"/>
    </row>
    <row r="624" spans="1:7" s="87" customFormat="1">
      <c r="A624" s="108"/>
      <c r="B624" s="108"/>
      <c r="C624" s="108"/>
      <c r="D624" s="108"/>
      <c r="E624" s="108"/>
      <c r="F624" s="108"/>
      <c r="G624" s="108"/>
    </row>
    <row r="625" spans="1:7" s="87" customFormat="1">
      <c r="A625" s="108"/>
      <c r="B625" s="108"/>
      <c r="C625" s="108"/>
      <c r="D625" s="108"/>
      <c r="E625" s="108"/>
      <c r="F625" s="108"/>
      <c r="G625" s="108"/>
    </row>
    <row r="626" spans="1:7" s="87" customFormat="1">
      <c r="A626" s="108"/>
      <c r="B626" s="108"/>
      <c r="C626" s="108"/>
      <c r="D626" s="108"/>
      <c r="E626" s="108"/>
      <c r="F626" s="108"/>
      <c r="G626" s="108"/>
    </row>
    <row r="627" spans="1:7" s="87" customFormat="1">
      <c r="A627" s="108"/>
      <c r="B627" s="108"/>
      <c r="C627" s="108"/>
      <c r="D627" s="108"/>
      <c r="E627" s="108"/>
      <c r="F627" s="108"/>
      <c r="G627" s="108"/>
    </row>
    <row r="628" spans="1:7" s="87" customFormat="1">
      <c r="A628" s="108"/>
      <c r="B628" s="108"/>
      <c r="C628" s="108"/>
      <c r="D628" s="108"/>
      <c r="E628" s="108"/>
      <c r="F628" s="108"/>
      <c r="G628" s="108"/>
    </row>
    <row r="629" spans="1:7" s="87" customFormat="1">
      <c r="A629" s="108"/>
      <c r="B629" s="108"/>
      <c r="C629" s="108"/>
      <c r="D629" s="108"/>
      <c r="E629" s="108"/>
      <c r="F629" s="108"/>
      <c r="G629" s="108"/>
    </row>
    <row r="630" spans="1:7" s="87" customFormat="1">
      <c r="A630" s="108"/>
      <c r="B630" s="108"/>
      <c r="C630" s="108"/>
      <c r="D630" s="108"/>
      <c r="E630" s="108"/>
      <c r="F630" s="108"/>
      <c r="G630" s="108"/>
    </row>
    <row r="631" spans="1:7" s="87" customFormat="1">
      <c r="A631" s="108"/>
      <c r="B631" s="108"/>
      <c r="C631" s="108"/>
      <c r="D631" s="108"/>
      <c r="E631" s="108"/>
      <c r="F631" s="108"/>
      <c r="G631" s="108"/>
    </row>
    <row r="632" spans="1:7" s="87" customFormat="1">
      <c r="A632" s="108"/>
      <c r="B632" s="108"/>
      <c r="C632" s="108"/>
      <c r="D632" s="108"/>
      <c r="E632" s="108"/>
      <c r="F632" s="108"/>
      <c r="G632" s="108"/>
    </row>
    <row r="633" spans="1:7" s="87" customFormat="1">
      <c r="A633" s="108"/>
      <c r="B633" s="108"/>
      <c r="C633" s="108"/>
      <c r="D633" s="108"/>
      <c r="E633" s="108"/>
      <c r="F633" s="108"/>
      <c r="G633" s="108"/>
    </row>
    <row r="634" spans="1:7" s="87" customFormat="1">
      <c r="A634" s="108"/>
      <c r="B634" s="108"/>
      <c r="C634" s="108"/>
      <c r="D634" s="108"/>
      <c r="E634" s="108"/>
      <c r="F634" s="108"/>
      <c r="G634" s="108"/>
    </row>
    <row r="635" spans="1:7" s="87" customFormat="1">
      <c r="A635" s="108"/>
      <c r="B635" s="108"/>
      <c r="C635" s="108"/>
      <c r="D635" s="108"/>
      <c r="E635" s="108"/>
      <c r="F635" s="108"/>
      <c r="G635" s="108"/>
    </row>
    <row r="636" spans="1:7" s="87" customFormat="1">
      <c r="A636" s="108"/>
      <c r="B636" s="108"/>
      <c r="C636" s="108"/>
      <c r="D636" s="108"/>
      <c r="E636" s="108"/>
      <c r="F636" s="108"/>
      <c r="G636" s="108"/>
    </row>
    <row r="637" spans="1:7" s="87" customFormat="1">
      <c r="A637" s="108"/>
      <c r="B637" s="108"/>
      <c r="C637" s="108"/>
      <c r="D637" s="108"/>
      <c r="E637" s="108"/>
      <c r="F637" s="108"/>
      <c r="G637" s="108"/>
    </row>
    <row r="638" spans="1:7" s="87" customFormat="1">
      <c r="A638" s="108"/>
      <c r="B638" s="108"/>
      <c r="C638" s="108"/>
      <c r="D638" s="108"/>
      <c r="E638" s="108"/>
      <c r="F638" s="108"/>
      <c r="G638" s="108"/>
    </row>
    <row r="639" spans="1:7" s="87" customFormat="1">
      <c r="A639" s="108"/>
      <c r="B639" s="108"/>
      <c r="C639" s="108"/>
      <c r="D639" s="108"/>
      <c r="E639" s="108"/>
      <c r="F639" s="108"/>
      <c r="G639" s="108"/>
    </row>
    <row r="640" spans="1:7" s="87" customFormat="1">
      <c r="A640" s="108"/>
      <c r="B640" s="108"/>
      <c r="C640" s="108"/>
      <c r="D640" s="108"/>
      <c r="E640" s="108"/>
      <c r="F640" s="108"/>
      <c r="G640" s="108"/>
    </row>
    <row r="641" spans="1:7" s="87" customFormat="1">
      <c r="A641" s="108"/>
      <c r="B641" s="108"/>
      <c r="C641" s="108"/>
      <c r="D641" s="108"/>
      <c r="E641" s="108"/>
      <c r="F641" s="108"/>
      <c r="G641" s="108"/>
    </row>
    <row r="642" spans="1:7" s="87" customFormat="1">
      <c r="A642" s="108"/>
      <c r="B642" s="108"/>
      <c r="C642" s="108"/>
      <c r="D642" s="108"/>
      <c r="E642" s="108"/>
      <c r="F642" s="108"/>
      <c r="G642" s="108"/>
    </row>
    <row r="643" spans="1:7" s="87" customFormat="1">
      <c r="A643" s="108"/>
      <c r="B643" s="108"/>
      <c r="C643" s="108"/>
      <c r="D643" s="108"/>
      <c r="E643" s="108"/>
      <c r="F643" s="108"/>
      <c r="G643" s="108"/>
    </row>
    <row r="644" spans="1:7" s="87" customFormat="1">
      <c r="A644" s="108"/>
      <c r="B644" s="108"/>
      <c r="C644" s="108"/>
      <c r="D644" s="108"/>
      <c r="E644" s="108"/>
      <c r="F644" s="108"/>
      <c r="G644" s="108"/>
    </row>
    <row r="645" spans="1:7" s="87" customFormat="1">
      <c r="A645" s="108"/>
      <c r="B645" s="108"/>
      <c r="C645" s="108"/>
      <c r="D645" s="108"/>
      <c r="E645" s="108"/>
      <c r="F645" s="108"/>
      <c r="G645" s="108"/>
    </row>
    <row r="646" spans="1:7" s="87" customFormat="1">
      <c r="A646" s="108"/>
      <c r="B646" s="108"/>
      <c r="C646" s="108"/>
      <c r="D646" s="108"/>
      <c r="E646" s="108"/>
      <c r="F646" s="108"/>
      <c r="G646" s="108"/>
    </row>
    <row r="647" spans="1:7" s="87" customFormat="1">
      <c r="A647" s="108"/>
      <c r="B647" s="108"/>
      <c r="C647" s="108"/>
      <c r="D647" s="108"/>
      <c r="E647" s="108"/>
      <c r="F647" s="108"/>
      <c r="G647" s="108"/>
    </row>
    <row r="648" spans="1:7" s="87" customFormat="1">
      <c r="A648" s="108"/>
      <c r="B648" s="108"/>
      <c r="C648" s="108"/>
      <c r="D648" s="108"/>
      <c r="E648" s="108"/>
      <c r="F648" s="108"/>
      <c r="G648" s="108"/>
    </row>
    <row r="649" spans="1:7" s="87" customFormat="1">
      <c r="A649" s="108"/>
      <c r="B649" s="108"/>
      <c r="C649" s="108"/>
      <c r="D649" s="108"/>
      <c r="E649" s="108"/>
      <c r="F649" s="108"/>
      <c r="G649" s="108"/>
    </row>
    <row r="650" spans="1:7" s="87" customFormat="1">
      <c r="A650" s="108"/>
      <c r="B650" s="108"/>
      <c r="C650" s="108"/>
      <c r="D650" s="108"/>
      <c r="E650" s="108"/>
      <c r="F650" s="108"/>
      <c r="G650" s="108"/>
    </row>
    <row r="651" spans="1:7" s="87" customFormat="1">
      <c r="A651" s="108"/>
      <c r="B651" s="108"/>
      <c r="C651" s="108"/>
      <c r="D651" s="108"/>
      <c r="E651" s="108"/>
      <c r="F651" s="108"/>
      <c r="G651" s="108"/>
    </row>
    <row r="652" spans="1:7" s="87" customFormat="1">
      <c r="A652" s="108"/>
      <c r="B652" s="108"/>
      <c r="C652" s="108"/>
      <c r="D652" s="108"/>
      <c r="E652" s="108"/>
      <c r="F652" s="108"/>
      <c r="G652" s="108"/>
    </row>
    <row r="653" spans="1:7" s="87" customFormat="1">
      <c r="A653" s="108"/>
      <c r="B653" s="108"/>
      <c r="C653" s="108"/>
      <c r="D653" s="108"/>
      <c r="E653" s="108"/>
      <c r="F653" s="108"/>
      <c r="G653" s="108"/>
    </row>
    <row r="654" spans="1:7" s="87" customFormat="1">
      <c r="A654" s="108"/>
      <c r="B654" s="108"/>
      <c r="C654" s="108"/>
      <c r="D654" s="108"/>
      <c r="E654" s="108"/>
      <c r="F654" s="108"/>
      <c r="G654" s="108"/>
    </row>
    <row r="655" spans="1:7" s="87" customFormat="1">
      <c r="A655" s="108"/>
      <c r="B655" s="108"/>
      <c r="C655" s="108"/>
      <c r="D655" s="108"/>
      <c r="E655" s="108"/>
      <c r="F655" s="108"/>
      <c r="G655" s="108"/>
    </row>
    <row r="656" spans="1:7" s="87" customFormat="1">
      <c r="A656" s="108"/>
      <c r="B656" s="108"/>
      <c r="C656" s="108"/>
      <c r="D656" s="108"/>
      <c r="E656" s="108"/>
      <c r="F656" s="108"/>
      <c r="G656" s="108"/>
    </row>
    <row r="657" spans="1:7" s="87" customFormat="1">
      <c r="A657" s="108"/>
      <c r="B657" s="108"/>
      <c r="C657" s="108"/>
      <c r="D657" s="108"/>
      <c r="E657" s="108"/>
      <c r="F657" s="108"/>
      <c r="G657" s="108"/>
    </row>
    <row r="658" spans="1:7" s="87" customFormat="1">
      <c r="A658" s="108"/>
      <c r="B658" s="108"/>
      <c r="C658" s="108"/>
      <c r="D658" s="108"/>
      <c r="E658" s="108"/>
      <c r="F658" s="108"/>
      <c r="G658" s="108"/>
    </row>
    <row r="659" spans="1:7" s="87" customFormat="1">
      <c r="A659" s="108"/>
      <c r="B659" s="108"/>
      <c r="C659" s="108"/>
      <c r="D659" s="108"/>
      <c r="E659" s="108"/>
      <c r="F659" s="108"/>
      <c r="G659" s="108"/>
    </row>
    <row r="660" spans="1:7" s="87" customFormat="1">
      <c r="A660" s="108"/>
      <c r="B660" s="108"/>
      <c r="C660" s="108"/>
      <c r="D660" s="108"/>
      <c r="E660" s="108"/>
      <c r="F660" s="108"/>
      <c r="G660" s="108"/>
    </row>
    <row r="661" spans="1:7" s="87" customFormat="1">
      <c r="A661" s="108"/>
      <c r="B661" s="108"/>
      <c r="C661" s="108"/>
      <c r="D661" s="108"/>
      <c r="E661" s="108"/>
      <c r="F661" s="108"/>
      <c r="G661" s="108"/>
    </row>
    <row r="662" spans="1:7" s="87" customFormat="1">
      <c r="A662" s="108"/>
      <c r="B662" s="108"/>
      <c r="C662" s="108"/>
      <c r="D662" s="108"/>
      <c r="E662" s="108"/>
      <c r="F662" s="108"/>
      <c r="G662" s="108"/>
    </row>
    <row r="663" spans="1:7" s="87" customFormat="1">
      <c r="A663" s="108"/>
      <c r="B663" s="108"/>
      <c r="C663" s="108"/>
      <c r="D663" s="108"/>
      <c r="E663" s="108"/>
      <c r="F663" s="108"/>
      <c r="G663" s="108"/>
    </row>
    <row r="664" spans="1:7" s="87" customFormat="1">
      <c r="A664" s="108"/>
      <c r="B664" s="108"/>
      <c r="C664" s="108"/>
      <c r="D664" s="108"/>
      <c r="E664" s="108"/>
      <c r="F664" s="108"/>
      <c r="G664" s="108"/>
    </row>
    <row r="665" spans="1:7" s="87" customFormat="1">
      <c r="A665" s="108"/>
      <c r="B665" s="108"/>
      <c r="C665" s="108"/>
      <c r="D665" s="108"/>
      <c r="E665" s="108"/>
      <c r="F665" s="108"/>
      <c r="G665" s="108"/>
    </row>
    <row r="666" spans="1:7" s="87" customFormat="1">
      <c r="A666" s="108"/>
      <c r="B666" s="108"/>
      <c r="C666" s="108"/>
      <c r="D666" s="108"/>
      <c r="E666" s="108"/>
      <c r="F666" s="108"/>
      <c r="G666" s="108"/>
    </row>
    <row r="667" spans="1:7" s="87" customFormat="1">
      <c r="A667" s="108"/>
      <c r="B667" s="108"/>
      <c r="C667" s="108"/>
      <c r="D667" s="108"/>
      <c r="E667" s="108"/>
      <c r="F667" s="108"/>
      <c r="G667" s="108"/>
    </row>
    <row r="668" spans="1:7" s="87" customFormat="1">
      <c r="A668" s="108"/>
      <c r="B668" s="108"/>
      <c r="C668" s="108"/>
      <c r="D668" s="108"/>
      <c r="E668" s="108"/>
      <c r="F668" s="108"/>
      <c r="G668" s="108"/>
    </row>
    <row r="669" spans="1:7" s="87" customFormat="1">
      <c r="A669" s="108"/>
      <c r="B669" s="108"/>
      <c r="C669" s="108"/>
      <c r="D669" s="108"/>
      <c r="E669" s="108"/>
      <c r="F669" s="108"/>
      <c r="G669" s="108"/>
    </row>
    <row r="670" spans="1:7" s="87" customFormat="1">
      <c r="A670" s="108"/>
      <c r="B670" s="108"/>
      <c r="C670" s="108"/>
      <c r="D670" s="108"/>
      <c r="E670" s="108"/>
      <c r="F670" s="108"/>
      <c r="G670" s="108"/>
    </row>
    <row r="671" spans="1:7" s="87" customFormat="1">
      <c r="A671" s="108"/>
      <c r="B671" s="108"/>
      <c r="C671" s="108"/>
      <c r="D671" s="108"/>
      <c r="E671" s="108"/>
      <c r="F671" s="108"/>
      <c r="G671" s="108"/>
    </row>
    <row r="672" spans="1:7" s="87" customFormat="1">
      <c r="A672" s="108"/>
      <c r="B672" s="108"/>
      <c r="C672" s="108"/>
      <c r="D672" s="108"/>
      <c r="E672" s="108"/>
      <c r="F672" s="108"/>
      <c r="G672" s="108"/>
    </row>
    <row r="673" spans="1:7" s="87" customFormat="1">
      <c r="A673" s="108"/>
      <c r="B673" s="108"/>
      <c r="C673" s="108"/>
      <c r="D673" s="108"/>
      <c r="E673" s="108"/>
      <c r="F673" s="108"/>
      <c r="G673" s="108"/>
    </row>
    <row r="674" spans="1:7" s="87" customFormat="1">
      <c r="A674" s="108"/>
      <c r="B674" s="108"/>
      <c r="C674" s="108"/>
      <c r="D674" s="108"/>
      <c r="E674" s="108"/>
      <c r="F674" s="108"/>
      <c r="G674" s="108"/>
    </row>
    <row r="675" spans="1:7" s="87" customFormat="1">
      <c r="A675" s="108"/>
      <c r="B675" s="108"/>
      <c r="C675" s="108"/>
      <c r="D675" s="108"/>
      <c r="E675" s="108"/>
      <c r="F675" s="108"/>
      <c r="G675" s="108"/>
    </row>
    <row r="676" spans="1:7" s="87" customFormat="1">
      <c r="A676" s="108"/>
      <c r="B676" s="108"/>
      <c r="C676" s="108"/>
      <c r="D676" s="108"/>
      <c r="E676" s="108"/>
      <c r="F676" s="108"/>
      <c r="G676" s="108"/>
    </row>
    <row r="677" spans="1:7" s="87" customFormat="1">
      <c r="A677" s="108"/>
      <c r="B677" s="108"/>
      <c r="C677" s="108"/>
      <c r="D677" s="108"/>
      <c r="E677" s="108"/>
      <c r="F677" s="108"/>
      <c r="G677" s="108"/>
    </row>
    <row r="678" spans="1:7" s="87" customFormat="1">
      <c r="A678" s="108"/>
      <c r="B678" s="108"/>
      <c r="C678" s="108"/>
      <c r="D678" s="108"/>
      <c r="E678" s="108"/>
      <c r="F678" s="108"/>
      <c r="G678" s="108"/>
    </row>
    <row r="679" spans="1:7" s="87" customFormat="1">
      <c r="A679" s="108"/>
      <c r="B679" s="108"/>
      <c r="C679" s="108"/>
      <c r="D679" s="108"/>
      <c r="E679" s="108"/>
      <c r="F679" s="108"/>
      <c r="G679" s="108"/>
    </row>
    <row r="680" spans="1:7" s="87" customFormat="1">
      <c r="A680" s="108"/>
      <c r="B680" s="108"/>
      <c r="C680" s="108"/>
      <c r="D680" s="108"/>
      <c r="E680" s="108"/>
      <c r="F680" s="108"/>
      <c r="G680" s="108"/>
    </row>
    <row r="681" spans="1:7" s="87" customFormat="1">
      <c r="A681" s="108"/>
      <c r="B681" s="108"/>
      <c r="C681" s="108"/>
      <c r="D681" s="108"/>
      <c r="E681" s="108"/>
      <c r="F681" s="108"/>
      <c r="G681" s="108"/>
    </row>
    <row r="682" spans="1:7" s="87" customFormat="1">
      <c r="A682" s="108"/>
      <c r="B682" s="108"/>
      <c r="C682" s="108"/>
      <c r="D682" s="108"/>
      <c r="E682" s="108"/>
      <c r="F682" s="108"/>
      <c r="G682" s="108"/>
    </row>
    <row r="683" spans="1:7" s="87" customFormat="1">
      <c r="A683" s="108"/>
      <c r="B683" s="108"/>
      <c r="C683" s="108"/>
      <c r="D683" s="108"/>
      <c r="E683" s="108"/>
      <c r="F683" s="108"/>
      <c r="G683" s="108"/>
    </row>
    <row r="684" spans="1:7" s="87" customFormat="1">
      <c r="A684" s="108"/>
      <c r="B684" s="108"/>
      <c r="C684" s="108"/>
      <c r="D684" s="108"/>
      <c r="E684" s="108"/>
      <c r="F684" s="108"/>
      <c r="G684" s="108"/>
    </row>
    <row r="685" spans="1:7" s="87" customFormat="1">
      <c r="A685" s="108"/>
      <c r="B685" s="108"/>
      <c r="C685" s="108"/>
      <c r="D685" s="108"/>
      <c r="E685" s="108"/>
      <c r="F685" s="108"/>
      <c r="G685" s="108"/>
    </row>
    <row r="686" spans="1:7" s="87" customFormat="1">
      <c r="A686" s="108"/>
      <c r="B686" s="108"/>
      <c r="C686" s="108"/>
      <c r="D686" s="108"/>
      <c r="E686" s="108"/>
      <c r="F686" s="108"/>
      <c r="G686" s="108"/>
    </row>
    <row r="687" spans="1:7" s="87" customFormat="1">
      <c r="A687" s="108"/>
      <c r="B687" s="108"/>
      <c r="C687" s="108"/>
      <c r="D687" s="108"/>
      <c r="E687" s="108"/>
      <c r="F687" s="108"/>
      <c r="G687" s="108"/>
    </row>
    <row r="688" spans="1:7" s="87" customFormat="1">
      <c r="A688" s="108"/>
      <c r="B688" s="108"/>
      <c r="C688" s="108"/>
      <c r="D688" s="108"/>
      <c r="E688" s="108"/>
      <c r="F688" s="108"/>
      <c r="G688" s="108"/>
    </row>
    <row r="689" spans="1:7" s="87" customFormat="1">
      <c r="A689" s="108"/>
      <c r="B689" s="108"/>
      <c r="C689" s="108"/>
      <c r="D689" s="108"/>
      <c r="E689" s="108"/>
      <c r="F689" s="108"/>
      <c r="G689" s="108"/>
    </row>
    <row r="690" spans="1:7" s="87" customFormat="1">
      <c r="A690" s="108"/>
      <c r="B690" s="108"/>
      <c r="C690" s="108"/>
      <c r="D690" s="108"/>
      <c r="E690" s="108"/>
      <c r="F690" s="108"/>
      <c r="G690" s="108"/>
    </row>
    <row r="691" spans="1:7" s="87" customFormat="1">
      <c r="A691" s="108"/>
      <c r="B691" s="108"/>
      <c r="C691" s="108"/>
      <c r="D691" s="108"/>
      <c r="E691" s="108"/>
      <c r="F691" s="108"/>
      <c r="G691" s="108"/>
    </row>
    <row r="692" spans="1:7" s="87" customFormat="1">
      <c r="A692" s="108"/>
      <c r="B692" s="108"/>
      <c r="C692" s="108"/>
      <c r="D692" s="108"/>
      <c r="E692" s="108"/>
      <c r="F692" s="108"/>
      <c r="G692" s="108"/>
    </row>
    <row r="693" spans="1:7" s="87" customFormat="1">
      <c r="A693" s="108"/>
      <c r="B693" s="108"/>
      <c r="C693" s="108"/>
      <c r="D693" s="108"/>
      <c r="E693" s="108"/>
      <c r="F693" s="108"/>
      <c r="G693" s="108"/>
    </row>
    <row r="694" spans="1:7" s="87" customFormat="1">
      <c r="A694" s="108"/>
      <c r="B694" s="108"/>
      <c r="C694" s="108"/>
      <c r="D694" s="108"/>
      <c r="E694" s="108"/>
      <c r="F694" s="108"/>
      <c r="G694" s="108"/>
    </row>
    <row r="695" spans="1:7" s="87" customFormat="1">
      <c r="A695" s="108"/>
      <c r="B695" s="108"/>
      <c r="C695" s="108"/>
      <c r="D695" s="108"/>
      <c r="E695" s="108"/>
      <c r="F695" s="108"/>
      <c r="G695" s="108"/>
    </row>
    <row r="696" spans="1:7" s="87" customFormat="1">
      <c r="A696" s="108"/>
      <c r="B696" s="108"/>
      <c r="C696" s="108"/>
      <c r="D696" s="108"/>
      <c r="E696" s="108"/>
      <c r="F696" s="108"/>
      <c r="G696" s="108"/>
    </row>
    <row r="697" spans="1:7" s="87" customFormat="1">
      <c r="A697" s="108"/>
      <c r="B697" s="108"/>
      <c r="C697" s="108"/>
      <c r="D697" s="108"/>
      <c r="E697" s="108"/>
      <c r="F697" s="108"/>
      <c r="G697" s="108"/>
    </row>
    <row r="698" spans="1:7" s="87" customFormat="1">
      <c r="A698" s="108"/>
      <c r="B698" s="108"/>
      <c r="C698" s="108"/>
      <c r="D698" s="108"/>
      <c r="E698" s="108"/>
      <c r="F698" s="108"/>
      <c r="G698" s="108"/>
    </row>
    <row r="699" spans="1:7" s="87" customFormat="1">
      <c r="A699" s="108"/>
      <c r="B699" s="108"/>
      <c r="C699" s="108"/>
      <c r="D699" s="108"/>
      <c r="E699" s="108"/>
      <c r="F699" s="108"/>
      <c r="G699" s="108"/>
    </row>
    <row r="700" spans="1:7" s="87" customFormat="1">
      <c r="A700" s="108"/>
      <c r="B700" s="108"/>
      <c r="C700" s="108"/>
      <c r="D700" s="108"/>
      <c r="E700" s="108"/>
      <c r="F700" s="108"/>
      <c r="G700" s="108"/>
    </row>
    <row r="701" spans="1:7" s="87" customFormat="1">
      <c r="A701" s="108"/>
      <c r="B701" s="108"/>
      <c r="C701" s="108"/>
      <c r="D701" s="108"/>
      <c r="E701" s="108"/>
      <c r="F701" s="108"/>
      <c r="G701" s="108"/>
    </row>
    <row r="702" spans="1:7" s="87" customFormat="1">
      <c r="A702" s="108"/>
      <c r="B702" s="108"/>
      <c r="C702" s="108"/>
      <c r="D702" s="108"/>
      <c r="E702" s="108"/>
      <c r="F702" s="108"/>
      <c r="G702" s="108"/>
    </row>
    <row r="703" spans="1:7" s="87" customFormat="1">
      <c r="A703" s="108"/>
      <c r="B703" s="108"/>
      <c r="C703" s="108"/>
      <c r="D703" s="108"/>
      <c r="E703" s="108"/>
      <c r="F703" s="108"/>
      <c r="G703" s="108"/>
    </row>
    <row r="704" spans="1:7" s="87" customFormat="1">
      <c r="A704" s="108"/>
      <c r="B704" s="108"/>
      <c r="C704" s="108"/>
      <c r="D704" s="108"/>
      <c r="E704" s="108"/>
      <c r="F704" s="108"/>
      <c r="G704" s="108"/>
    </row>
    <row r="705" spans="1:7" s="87" customFormat="1">
      <c r="A705" s="108"/>
      <c r="B705" s="108"/>
      <c r="C705" s="108"/>
      <c r="D705" s="108"/>
      <c r="E705" s="108"/>
      <c r="F705" s="108"/>
      <c r="G705" s="108"/>
    </row>
    <row r="706" spans="1:7" s="87" customFormat="1">
      <c r="A706" s="108"/>
      <c r="B706" s="108"/>
      <c r="C706" s="108"/>
      <c r="D706" s="108"/>
      <c r="E706" s="108"/>
      <c r="F706" s="108"/>
      <c r="G706" s="108"/>
    </row>
    <row r="707" spans="1:7" s="87" customFormat="1">
      <c r="A707" s="108"/>
      <c r="B707" s="108"/>
      <c r="C707" s="108"/>
      <c r="D707" s="108"/>
      <c r="E707" s="108"/>
      <c r="F707" s="108"/>
      <c r="G707" s="108"/>
    </row>
    <row r="708" spans="1:7" s="87" customFormat="1">
      <c r="A708" s="108"/>
      <c r="B708" s="108"/>
      <c r="C708" s="108"/>
      <c r="D708" s="108"/>
      <c r="E708" s="108"/>
      <c r="F708" s="108"/>
      <c r="G708" s="108"/>
    </row>
    <row r="709" spans="1:7" s="87" customFormat="1">
      <c r="A709" s="108"/>
      <c r="B709" s="108"/>
      <c r="C709" s="108"/>
      <c r="D709" s="108"/>
      <c r="E709" s="108"/>
      <c r="F709" s="108"/>
      <c r="G709" s="108"/>
    </row>
    <row r="710" spans="1:7" s="87" customFormat="1">
      <c r="A710" s="108"/>
      <c r="B710" s="108"/>
      <c r="C710" s="108"/>
      <c r="D710" s="108"/>
      <c r="E710" s="108"/>
      <c r="F710" s="108"/>
      <c r="G710" s="108"/>
    </row>
    <row r="711" spans="1:7" s="87" customFormat="1">
      <c r="A711" s="108"/>
      <c r="B711" s="108"/>
      <c r="C711" s="108"/>
      <c r="D711" s="108"/>
      <c r="E711" s="108"/>
      <c r="F711" s="108"/>
      <c r="G711" s="108"/>
    </row>
    <row r="712" spans="1:7" s="87" customFormat="1">
      <c r="A712" s="108"/>
      <c r="B712" s="108"/>
      <c r="C712" s="108"/>
      <c r="D712" s="108"/>
      <c r="E712" s="108"/>
      <c r="F712" s="108"/>
      <c r="G712" s="108"/>
    </row>
    <row r="713" spans="1:7" s="87" customFormat="1">
      <c r="A713" s="108"/>
      <c r="B713" s="108"/>
      <c r="C713" s="108"/>
      <c r="D713" s="108"/>
      <c r="E713" s="108"/>
      <c r="F713" s="108"/>
      <c r="G713" s="108"/>
    </row>
    <row r="714" spans="1:7" s="87" customFormat="1">
      <c r="A714" s="108"/>
      <c r="B714" s="108"/>
      <c r="C714" s="108"/>
      <c r="D714" s="108"/>
      <c r="E714" s="108"/>
      <c r="F714" s="108"/>
      <c r="G714" s="108"/>
    </row>
    <row r="715" spans="1:7" s="87" customFormat="1">
      <c r="A715" s="108"/>
      <c r="B715" s="108"/>
      <c r="C715" s="108"/>
      <c r="D715" s="108"/>
      <c r="E715" s="108"/>
      <c r="F715" s="108"/>
      <c r="G715" s="108"/>
    </row>
    <row r="716" spans="1:7" s="87" customFormat="1">
      <c r="A716" s="108"/>
      <c r="B716" s="108"/>
      <c r="C716" s="108"/>
      <c r="D716" s="108"/>
      <c r="E716" s="108"/>
      <c r="F716" s="108"/>
      <c r="G716" s="108"/>
    </row>
    <row r="717" spans="1:7" s="87" customFormat="1">
      <c r="A717" s="108"/>
      <c r="B717" s="108"/>
      <c r="C717" s="108"/>
      <c r="D717" s="108"/>
      <c r="E717" s="108"/>
      <c r="F717" s="108"/>
      <c r="G717" s="108"/>
    </row>
    <row r="718" spans="1:7" s="87" customFormat="1">
      <c r="A718" s="108"/>
      <c r="B718" s="108"/>
      <c r="C718" s="108"/>
      <c r="D718" s="108"/>
      <c r="E718" s="108"/>
      <c r="F718" s="108"/>
      <c r="G718" s="108"/>
    </row>
    <row r="719" spans="1:7" s="87" customFormat="1">
      <c r="A719" s="108"/>
      <c r="B719" s="108"/>
      <c r="C719" s="108"/>
      <c r="D719" s="108"/>
      <c r="E719" s="108"/>
      <c r="F719" s="108"/>
      <c r="G719" s="108"/>
    </row>
    <row r="720" spans="1:7" s="87" customFormat="1">
      <c r="A720" s="108"/>
      <c r="B720" s="108"/>
      <c r="C720" s="108"/>
      <c r="D720" s="108"/>
      <c r="E720" s="108"/>
      <c r="F720" s="108"/>
      <c r="G720" s="108"/>
    </row>
    <row r="721" spans="1:7" s="87" customFormat="1">
      <c r="A721" s="108"/>
      <c r="B721" s="108"/>
      <c r="C721" s="108"/>
      <c r="D721" s="108"/>
      <c r="E721" s="108"/>
      <c r="F721" s="108"/>
      <c r="G721" s="108"/>
    </row>
    <row r="722" spans="1:7" s="87" customFormat="1">
      <c r="A722" s="108"/>
      <c r="B722" s="108"/>
      <c r="C722" s="108"/>
      <c r="D722" s="108"/>
      <c r="E722" s="108"/>
      <c r="F722" s="108"/>
      <c r="G722" s="108"/>
    </row>
    <row r="723" spans="1:7" s="87" customFormat="1">
      <c r="A723" s="108"/>
      <c r="B723" s="108"/>
      <c r="C723" s="108"/>
      <c r="D723" s="108"/>
      <c r="E723" s="108"/>
      <c r="F723" s="108"/>
      <c r="G723" s="108"/>
    </row>
    <row r="724" spans="1:7" s="87" customFormat="1">
      <c r="A724" s="108"/>
      <c r="B724" s="108"/>
      <c r="C724" s="108"/>
      <c r="D724" s="108"/>
      <c r="E724" s="108"/>
      <c r="F724" s="108"/>
      <c r="G724" s="108"/>
    </row>
    <row r="725" spans="1:7" s="87" customFormat="1">
      <c r="A725" s="108"/>
      <c r="B725" s="108"/>
      <c r="C725" s="108"/>
      <c r="D725" s="108"/>
      <c r="E725" s="108"/>
      <c r="F725" s="108"/>
      <c r="G725" s="108"/>
    </row>
    <row r="726" spans="1:7" s="87" customFormat="1">
      <c r="A726" s="108"/>
      <c r="B726" s="108"/>
      <c r="C726" s="108"/>
      <c r="D726" s="108"/>
      <c r="E726" s="108"/>
      <c r="F726" s="108"/>
      <c r="G726" s="108"/>
    </row>
    <row r="727" spans="1:7" s="87" customFormat="1">
      <c r="A727" s="108"/>
      <c r="B727" s="108"/>
      <c r="C727" s="108"/>
      <c r="D727" s="108"/>
      <c r="E727" s="108"/>
      <c r="F727" s="108"/>
      <c r="G727" s="108"/>
    </row>
    <row r="728" spans="1:7" s="87" customFormat="1">
      <c r="A728" s="108"/>
      <c r="B728" s="108"/>
      <c r="C728" s="108"/>
      <c r="D728" s="108"/>
      <c r="E728" s="108"/>
      <c r="F728" s="108"/>
      <c r="G728" s="108"/>
    </row>
    <row r="729" spans="1:7" s="87" customFormat="1">
      <c r="A729" s="108"/>
      <c r="B729" s="108"/>
      <c r="C729" s="108"/>
      <c r="D729" s="108"/>
      <c r="E729" s="108"/>
      <c r="F729" s="108"/>
      <c r="G729" s="108"/>
    </row>
    <row r="730" spans="1:7" s="87" customFormat="1">
      <c r="A730" s="108"/>
      <c r="B730" s="108"/>
      <c r="C730" s="108"/>
      <c r="D730" s="108"/>
      <c r="E730" s="108"/>
      <c r="F730" s="108"/>
      <c r="G730" s="108"/>
    </row>
    <row r="731" spans="1:7" s="87" customFormat="1">
      <c r="A731" s="108"/>
      <c r="B731" s="108"/>
      <c r="C731" s="108"/>
      <c r="D731" s="108"/>
      <c r="E731" s="108"/>
      <c r="F731" s="108"/>
      <c r="G731" s="108"/>
    </row>
    <row r="732" spans="1:7" s="87" customFormat="1">
      <c r="A732" s="108"/>
      <c r="B732" s="108"/>
      <c r="C732" s="108"/>
      <c r="D732" s="108"/>
      <c r="E732" s="108"/>
      <c r="F732" s="108"/>
      <c r="G732" s="108"/>
    </row>
    <row r="733" spans="1:7" s="87" customFormat="1">
      <c r="A733" s="108"/>
      <c r="B733" s="108"/>
      <c r="C733" s="108"/>
      <c r="D733" s="108"/>
      <c r="E733" s="108"/>
      <c r="F733" s="108"/>
      <c r="G733" s="108"/>
    </row>
    <row r="734" spans="1:7" s="87" customFormat="1">
      <c r="A734" s="108"/>
      <c r="B734" s="108"/>
      <c r="C734" s="108"/>
      <c r="D734" s="108"/>
      <c r="E734" s="108"/>
      <c r="F734" s="108"/>
      <c r="G734" s="108"/>
    </row>
    <row r="735" spans="1:7" s="87" customFormat="1">
      <c r="A735" s="108"/>
      <c r="B735" s="108"/>
      <c r="C735" s="108"/>
      <c r="D735" s="108"/>
      <c r="E735" s="108"/>
      <c r="F735" s="108"/>
      <c r="G735" s="108"/>
    </row>
    <row r="736" spans="1:7" s="87" customFormat="1">
      <c r="A736" s="108"/>
      <c r="B736" s="108"/>
      <c r="C736" s="108"/>
      <c r="D736" s="108"/>
      <c r="E736" s="108"/>
      <c r="F736" s="108"/>
      <c r="G736" s="108"/>
    </row>
    <row r="737" spans="1:7" s="87" customFormat="1">
      <c r="A737" s="108"/>
      <c r="B737" s="108"/>
      <c r="C737" s="108"/>
      <c r="D737" s="108"/>
      <c r="E737" s="108"/>
      <c r="F737" s="108"/>
      <c r="G737" s="108"/>
    </row>
    <row r="738" spans="1:7" s="87" customFormat="1">
      <c r="A738" s="108"/>
      <c r="B738" s="108"/>
      <c r="C738" s="108"/>
      <c r="D738" s="108"/>
      <c r="E738" s="108"/>
      <c r="F738" s="108"/>
      <c r="G738" s="108"/>
    </row>
    <row r="739" spans="1:7" s="87" customFormat="1">
      <c r="A739" s="108"/>
      <c r="B739" s="108"/>
      <c r="C739" s="108"/>
      <c r="D739" s="108"/>
      <c r="E739" s="108"/>
      <c r="F739" s="108"/>
      <c r="G739" s="108"/>
    </row>
    <row r="740" spans="1:7" s="87" customFormat="1">
      <c r="A740" s="108"/>
      <c r="B740" s="108"/>
      <c r="C740" s="108"/>
      <c r="D740" s="108"/>
      <c r="E740" s="108"/>
      <c r="F740" s="108"/>
      <c r="G740" s="108"/>
    </row>
    <row r="741" spans="1:7" s="87" customFormat="1">
      <c r="A741" s="108"/>
      <c r="B741" s="108"/>
      <c r="C741" s="108"/>
      <c r="D741" s="108"/>
      <c r="E741" s="108"/>
      <c r="F741" s="108"/>
      <c r="G741" s="108"/>
    </row>
    <row r="742" spans="1:7" s="87" customFormat="1">
      <c r="A742" s="108"/>
      <c r="B742" s="108"/>
      <c r="C742" s="108"/>
      <c r="D742" s="108"/>
      <c r="E742" s="108"/>
      <c r="F742" s="108"/>
      <c r="G742" s="108"/>
    </row>
    <row r="743" spans="1:7" s="87" customFormat="1">
      <c r="A743" s="108"/>
      <c r="B743" s="108"/>
      <c r="C743" s="108"/>
      <c r="D743" s="108"/>
      <c r="E743" s="108"/>
      <c r="F743" s="108"/>
      <c r="G743" s="108"/>
    </row>
    <row r="744" spans="1:7" s="87" customFormat="1">
      <c r="A744" s="108"/>
      <c r="B744" s="108"/>
      <c r="C744" s="108"/>
      <c r="D744" s="108"/>
      <c r="E744" s="108"/>
      <c r="F744" s="108"/>
      <c r="G744" s="108"/>
    </row>
    <row r="745" spans="1:7" s="87" customFormat="1">
      <c r="A745" s="108"/>
      <c r="B745" s="108"/>
      <c r="C745" s="108"/>
      <c r="D745" s="108"/>
      <c r="E745" s="108"/>
      <c r="F745" s="108"/>
      <c r="G745" s="108"/>
    </row>
    <row r="746" spans="1:7" s="87" customFormat="1">
      <c r="A746" s="108"/>
      <c r="B746" s="108"/>
      <c r="C746" s="108"/>
      <c r="D746" s="108"/>
      <c r="E746" s="108"/>
      <c r="F746" s="108"/>
      <c r="G746" s="108"/>
    </row>
    <row r="747" spans="1:7" s="87" customFormat="1">
      <c r="A747" s="108"/>
      <c r="B747" s="108"/>
      <c r="C747" s="108"/>
      <c r="D747" s="108"/>
      <c r="E747" s="108"/>
      <c r="F747" s="108"/>
      <c r="G747" s="108"/>
    </row>
    <row r="748" spans="1:7" s="87" customFormat="1">
      <c r="A748" s="108"/>
      <c r="B748" s="108"/>
      <c r="C748" s="108"/>
      <c r="D748" s="108"/>
      <c r="E748" s="108"/>
      <c r="F748" s="108"/>
      <c r="G748" s="108"/>
    </row>
    <row r="749" spans="1:7" s="87" customFormat="1">
      <c r="A749" s="108"/>
      <c r="B749" s="108"/>
      <c r="C749" s="108"/>
      <c r="D749" s="108"/>
      <c r="E749" s="108"/>
      <c r="F749" s="108"/>
      <c r="G749" s="108"/>
    </row>
    <row r="750" spans="1:7" s="87" customFormat="1">
      <c r="A750" s="108"/>
      <c r="B750" s="108"/>
      <c r="C750" s="108"/>
      <c r="D750" s="108"/>
      <c r="E750" s="108"/>
      <c r="F750" s="108"/>
      <c r="G750" s="108"/>
    </row>
    <row r="751" spans="1:7" s="87" customFormat="1">
      <c r="A751" s="108"/>
      <c r="B751" s="108"/>
      <c r="C751" s="108"/>
      <c r="D751" s="108"/>
      <c r="E751" s="108"/>
      <c r="F751" s="108"/>
      <c r="G751" s="108"/>
    </row>
    <row r="752" spans="1:7" s="87" customFormat="1">
      <c r="A752" s="108"/>
      <c r="B752" s="108"/>
      <c r="C752" s="108"/>
      <c r="D752" s="108"/>
      <c r="E752" s="108"/>
      <c r="F752" s="108"/>
      <c r="G752" s="108"/>
    </row>
    <row r="753" spans="1:7" s="105" customFormat="1">
      <c r="A753" s="107"/>
      <c r="B753" s="107"/>
      <c r="C753" s="107"/>
      <c r="D753" s="107"/>
      <c r="E753" s="107"/>
      <c r="F753" s="107"/>
      <c r="G753" s="107"/>
    </row>
    <row r="754" spans="1:7" s="105" customFormat="1">
      <c r="A754" s="107"/>
      <c r="B754" s="107"/>
      <c r="C754" s="107"/>
      <c r="D754" s="107"/>
      <c r="E754" s="107"/>
      <c r="F754" s="107"/>
      <c r="G754" s="107"/>
    </row>
  </sheetData>
  <phoneticPr fontId="14"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C32"/>
  <sheetViews>
    <sheetView tabSelected="1" zoomScaleNormal="100" workbookViewId="0">
      <selection activeCell="A2" sqref="A2"/>
    </sheetView>
  </sheetViews>
  <sheetFormatPr defaultColWidth="9" defaultRowHeight="15"/>
  <cols>
    <col min="1" max="1" width="9" style="4"/>
    <col min="2" max="2" width="108.28515625" style="357" customWidth="1"/>
    <col min="3" max="16384" width="9" style="4"/>
  </cols>
  <sheetData>
    <row r="1" spans="2:3" ht="15.75" thickBot="1"/>
    <row r="2" spans="2:3" s="3" customFormat="1" ht="21">
      <c r="B2" s="400" t="s">
        <v>127</v>
      </c>
    </row>
    <row r="3" spans="2:3" s="127" customFormat="1" ht="18.75">
      <c r="B3" s="401" t="s">
        <v>128</v>
      </c>
    </row>
    <row r="4" spans="2:3" ht="75">
      <c r="B4" s="402" t="s">
        <v>129</v>
      </c>
      <c r="C4" s="356"/>
    </row>
    <row r="5" spans="2:3">
      <c r="B5" s="402"/>
      <c r="C5" s="356"/>
    </row>
    <row r="6" spans="2:3" s="127" customFormat="1" ht="18.75">
      <c r="B6" s="401" t="s">
        <v>130</v>
      </c>
    </row>
    <row r="7" spans="2:3">
      <c r="B7" s="403" t="s">
        <v>153</v>
      </c>
    </row>
    <row r="8" spans="2:3">
      <c r="B8" s="403" t="s">
        <v>212</v>
      </c>
    </row>
    <row r="9" spans="2:3" ht="30">
      <c r="B9" s="403" t="s">
        <v>213</v>
      </c>
    </row>
    <row r="10" spans="2:3">
      <c r="B10" s="403"/>
    </row>
    <row r="11" spans="2:3" ht="60">
      <c r="B11" s="472" t="s">
        <v>250</v>
      </c>
    </row>
    <row r="12" spans="2:3" s="7" customFormat="1">
      <c r="B12" s="474"/>
    </row>
    <row r="13" spans="2:3" ht="30">
      <c r="B13" s="473" t="s">
        <v>251</v>
      </c>
    </row>
    <row r="14" spans="2:3">
      <c r="B14" s="403"/>
    </row>
    <row r="15" spans="2:3" s="127" customFormat="1" ht="18.75">
      <c r="B15" s="401" t="s">
        <v>131</v>
      </c>
    </row>
    <row r="16" spans="2:3" ht="58.5" customHeight="1">
      <c r="B16" s="404" t="s">
        <v>216</v>
      </c>
    </row>
    <row r="17" spans="2:2" ht="53.25" customHeight="1">
      <c r="B17" s="404" t="s">
        <v>132</v>
      </c>
    </row>
    <row r="18" spans="2:2" ht="52.5" customHeight="1">
      <c r="B18" s="404" t="s">
        <v>175</v>
      </c>
    </row>
    <row r="19" spans="2:2" ht="30" customHeight="1">
      <c r="B19" s="404" t="s">
        <v>214</v>
      </c>
    </row>
    <row r="20" spans="2:2" ht="30" customHeight="1">
      <c r="B20" s="404" t="s">
        <v>215</v>
      </c>
    </row>
    <row r="21" spans="2:2" ht="30" customHeight="1">
      <c r="B21" s="404" t="s">
        <v>217</v>
      </c>
    </row>
    <row r="22" spans="2:2" ht="15" customHeight="1">
      <c r="B22" s="404"/>
    </row>
    <row r="23" spans="2:2" s="127" customFormat="1" ht="15" customHeight="1">
      <c r="B23" s="401" t="s">
        <v>133</v>
      </c>
    </row>
    <row r="24" spans="2:2" ht="30" customHeight="1" thickBot="1">
      <c r="B24" s="405" t="s">
        <v>249</v>
      </c>
    </row>
    <row r="32" spans="2:2">
      <c r="B32" s="358"/>
    </row>
  </sheetData>
  <phoneticPr fontId="14" type="noConversion"/>
  <hyperlinks>
    <hyperlink ref="B4" r:id="rId1" display="http://www.civil.uwaterloo.ca/brodland/MechanicsModels/beamdeflection.html"/>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Main</vt:lpstr>
      <vt:lpstr>Properties</vt:lpstr>
      <vt:lpstr>Solver</vt:lpstr>
      <vt:lpstr>Plotting Data</vt:lpstr>
      <vt:lpstr>calculation</vt:lpstr>
      <vt:lpstr>Language</vt:lpstr>
      <vt:lpstr>constants</vt:lpstr>
      <vt:lpstr>Data</vt:lpstr>
      <vt:lpstr>Instructions</vt:lpstr>
      <vt:lpstr>left_b</vt:lpstr>
      <vt:lpstr>mid1_b</vt:lpstr>
      <vt:lpstr>mid2_b</vt:lpstr>
      <vt:lpstr>right_b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HUI ZHAO</dc:creator>
  <cp:lastModifiedBy>G. Wayne Brodland</cp:lastModifiedBy>
  <dcterms:created xsi:type="dcterms:W3CDTF">2016-09-15T23:20:00Z</dcterms:created>
  <dcterms:modified xsi:type="dcterms:W3CDTF">2019-02-11T16:58:40Z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1033-10.1.0.5674</vt:lpwstr>
  </property>
</Properties>
</file>